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tabRatio="666" firstSheet="2" activeTab="9"/>
  </bookViews>
  <sheets>
    <sheet name="Sommaire général" sheetId="1" r:id="rId1"/>
    <sheet name="Fiche d'identification" sheetId="2" r:id="rId2"/>
    <sheet name="Liste des professionnels" sheetId="4" r:id="rId3"/>
    <sheet name="fiche ID (var)" sheetId="3" state="hidden" r:id="rId4"/>
    <sheet name="liste pro (var)" sheetId="5" state="hidden" r:id="rId5"/>
    <sheet name="Calcul de la dotation NMR" sheetId="6" r:id="rId6"/>
    <sheet name="Frais de fonctionnement prev" sheetId="21" r:id="rId7"/>
    <sheet name="var prev" sheetId="22" state="hidden" r:id="rId8"/>
    <sheet name="dot nmr (var)" sheetId="7" state="hidden" r:id="rId9"/>
    <sheet name="Rémunérations des pros" sheetId="17" r:id="rId10"/>
    <sheet name="Synthèse prévisionnelle" sheetId="23" r:id="rId11"/>
    <sheet name="rem des pros (var)" sheetId="18" state="hidden" r:id="rId12"/>
    <sheet name="Résultat fiscal SISA" sheetId="16" r:id="rId13"/>
    <sheet name="Impact fiscal et social" sheetId="20" r:id="rId14"/>
  </sheets>
  <definedNames>
    <definedName name="choix">'dot nmr (var)'!$A$2:$A$3</definedName>
    <definedName name="cle_de_repartition">'rem des pros (var)'!$A$2:$A$4</definedName>
    <definedName name="liste_profession">'liste pro (var)'!$A$2:$A$22</definedName>
    <definedName name="option_comptable">'fiche ID (var)'!$B$2:$B$4</definedName>
    <definedName name="oui_non">'var prev'!$A$2:$A$3</definedName>
    <definedName name="periodicite">'var prev'!$C$2:$C$4</definedName>
    <definedName name="profession_medicale">'liste pro (var)'!$D$2:$D$7</definedName>
    <definedName name="profession_paramedicale">'liste pro (var)'!$F$2:$F$16</definedName>
    <definedName name="regime_fiscal">'fiche ID (var)'!$A$2:$A$3</definedName>
    <definedName name="structure_du_capital">'fiche ID (var)'!$C$2:$C$3</definedName>
    <definedName name="taux_tva">'var prev'!$B$2:$B$4</definedName>
  </definedNames>
  <calcPr calcId="152511" iterate="1"/>
</workbook>
</file>

<file path=xl/calcChain.xml><?xml version="1.0" encoding="utf-8"?>
<calcChain xmlns="http://schemas.openxmlformats.org/spreadsheetml/2006/main">
  <c r="F22" i="23" l="1"/>
  <c r="G11" i="6" l="1"/>
  <c r="G12" i="6"/>
  <c r="G10" i="6"/>
  <c r="G41" i="20"/>
  <c r="H41" i="20"/>
  <c r="I41" i="20"/>
  <c r="J41" i="20"/>
  <c r="K41" i="20"/>
  <c r="L41" i="20"/>
  <c r="M41" i="20"/>
  <c r="N41" i="20"/>
  <c r="O41" i="20"/>
  <c r="P41" i="20"/>
  <c r="Q41" i="20"/>
  <c r="R41" i="20"/>
  <c r="S41" i="20"/>
  <c r="T41" i="20"/>
  <c r="U41" i="20"/>
  <c r="H12" i="6" l="1"/>
  <c r="F20" i="23"/>
  <c r="F18" i="23"/>
  <c r="F16" i="23"/>
  <c r="C16" i="20" l="1"/>
  <c r="H48" i="21"/>
  <c r="H54" i="21" s="1"/>
  <c r="H49" i="21"/>
  <c r="H50" i="21"/>
  <c r="H51" i="21"/>
  <c r="H52" i="21"/>
  <c r="H53" i="21"/>
  <c r="H47" i="21"/>
  <c r="E54" i="21"/>
  <c r="H31" i="21"/>
  <c r="H38" i="21" s="1"/>
  <c r="E43" i="21"/>
  <c r="J26" i="21"/>
  <c r="J15" i="21"/>
  <c r="G15" i="21"/>
  <c r="H49" i="17" l="1"/>
  <c r="G28" i="20" s="1"/>
  <c r="I49" i="17"/>
  <c r="H28" i="20" s="1"/>
  <c r="J49" i="17"/>
  <c r="I28" i="20" s="1"/>
  <c r="K49" i="17"/>
  <c r="J28" i="20" s="1"/>
  <c r="L49" i="17"/>
  <c r="K28" i="20" s="1"/>
  <c r="M49" i="17"/>
  <c r="L28" i="20" s="1"/>
  <c r="N49" i="17"/>
  <c r="M28" i="20" s="1"/>
  <c r="O49" i="17"/>
  <c r="N28" i="20" s="1"/>
  <c r="P49" i="17"/>
  <c r="O28" i="20" s="1"/>
  <c r="Q49" i="17"/>
  <c r="P28" i="20" s="1"/>
  <c r="R49" i="17"/>
  <c r="Q28" i="20" s="1"/>
  <c r="S49" i="17"/>
  <c r="R28" i="20" s="1"/>
  <c r="T49" i="17"/>
  <c r="S28" i="20" s="1"/>
  <c r="U49" i="17"/>
  <c r="T28" i="20" s="1"/>
  <c r="V49" i="17"/>
  <c r="U28" i="20" s="1"/>
  <c r="C17" i="20" l="1"/>
  <c r="U26" i="20"/>
  <c r="U32" i="20" s="1"/>
  <c r="T26" i="20"/>
  <c r="T32" i="20" s="1"/>
  <c r="S26" i="20"/>
  <c r="S32" i="20" s="1"/>
  <c r="R26" i="20"/>
  <c r="R32" i="20" s="1"/>
  <c r="Q26" i="20"/>
  <c r="Q32" i="20" s="1"/>
  <c r="P26" i="20"/>
  <c r="P32" i="20" s="1"/>
  <c r="O26" i="20"/>
  <c r="O32" i="20" s="1"/>
  <c r="N26" i="20"/>
  <c r="N32" i="20" s="1"/>
  <c r="M26" i="20"/>
  <c r="M32" i="20" s="1"/>
  <c r="L26" i="20"/>
  <c r="L32" i="20" s="1"/>
  <c r="K26" i="20"/>
  <c r="K32" i="20" s="1"/>
  <c r="J26" i="20"/>
  <c r="J32" i="20" s="1"/>
  <c r="I26" i="20"/>
  <c r="I32" i="20" s="1"/>
  <c r="H26" i="20"/>
  <c r="H32" i="20" s="1"/>
  <c r="G26" i="20"/>
  <c r="G32" i="20" s="1"/>
  <c r="F26" i="20"/>
  <c r="E26" i="20"/>
  <c r="D26" i="20"/>
  <c r="C26" i="20"/>
  <c r="U25" i="20"/>
  <c r="T25" i="20"/>
  <c r="S25" i="20"/>
  <c r="R25" i="20"/>
  <c r="Q25" i="20"/>
  <c r="P25" i="20"/>
  <c r="O25" i="20"/>
  <c r="N25" i="20"/>
  <c r="M25" i="20"/>
  <c r="L25" i="20"/>
  <c r="K25" i="20"/>
  <c r="J25" i="20"/>
  <c r="I25" i="20"/>
  <c r="H25" i="20"/>
  <c r="G25" i="20"/>
  <c r="F25" i="20"/>
  <c r="E25" i="20"/>
  <c r="D25" i="20"/>
  <c r="C25" i="20"/>
  <c r="Y59" i="17"/>
  <c r="Y60" i="17"/>
  <c r="Y61" i="17"/>
  <c r="Y62" i="17"/>
  <c r="Y63" i="17"/>
  <c r="Y64" i="17"/>
  <c r="Y65" i="17"/>
  <c r="Y66" i="17"/>
  <c r="Y67" i="17"/>
  <c r="Y69" i="17"/>
  <c r="Y70" i="17"/>
  <c r="Y71" i="17"/>
  <c r="Y72" i="17"/>
  <c r="Y73" i="17"/>
  <c r="Y57" i="17"/>
  <c r="X73" i="17"/>
  <c r="X71" i="17"/>
  <c r="X70" i="17"/>
  <c r="X69" i="17"/>
  <c r="X68" i="17"/>
  <c r="X67" i="17"/>
  <c r="X66" i="17"/>
  <c r="X65" i="17"/>
  <c r="X64" i="17"/>
  <c r="X62" i="17"/>
  <c r="X61" i="17"/>
  <c r="X59" i="17"/>
  <c r="X58" i="17"/>
  <c r="X57" i="17"/>
  <c r="C73" i="17"/>
  <c r="C71" i="17"/>
  <c r="C70" i="17"/>
  <c r="C69" i="17"/>
  <c r="C68" i="17"/>
  <c r="C67" i="17"/>
  <c r="C66" i="17"/>
  <c r="C65" i="17"/>
  <c r="C64" i="17"/>
  <c r="C62" i="17"/>
  <c r="C61" i="17"/>
  <c r="C59" i="17"/>
  <c r="C58" i="17"/>
  <c r="C57" i="17"/>
  <c r="B73" i="17"/>
  <c r="V55" i="17"/>
  <c r="U55" i="17"/>
  <c r="T55" i="17"/>
  <c r="S55" i="17"/>
  <c r="R55" i="17"/>
  <c r="Q55" i="17"/>
  <c r="P55" i="17"/>
  <c r="O55" i="17"/>
  <c r="N55" i="17"/>
  <c r="M55" i="17"/>
  <c r="L55" i="17"/>
  <c r="K55" i="17"/>
  <c r="J55" i="17"/>
  <c r="I55" i="17"/>
  <c r="H55" i="17"/>
  <c r="G55" i="17"/>
  <c r="F55" i="17"/>
  <c r="E55" i="17"/>
  <c r="D55" i="17"/>
  <c r="V22" i="17"/>
  <c r="V38" i="17" s="1"/>
  <c r="U22" i="17"/>
  <c r="U40" i="17" s="1"/>
  <c r="T22" i="17"/>
  <c r="T26" i="17" s="1"/>
  <c r="S22" i="17"/>
  <c r="S38" i="17" s="1"/>
  <c r="R22" i="17"/>
  <c r="R38" i="17" s="1"/>
  <c r="Q22" i="17"/>
  <c r="Q40" i="17" s="1"/>
  <c r="P22" i="17"/>
  <c r="P29" i="17" s="1"/>
  <c r="O22" i="17"/>
  <c r="O38" i="17" s="1"/>
  <c r="N22" i="17"/>
  <c r="N38" i="17" s="1"/>
  <c r="M22" i="17"/>
  <c r="M40" i="17" s="1"/>
  <c r="L22" i="17"/>
  <c r="L32" i="17" s="1"/>
  <c r="K22" i="17"/>
  <c r="K38" i="17" s="1"/>
  <c r="J22" i="17"/>
  <c r="J38" i="17" s="1"/>
  <c r="I22" i="17"/>
  <c r="I40" i="17" s="1"/>
  <c r="H22" i="17"/>
  <c r="H29" i="17" s="1"/>
  <c r="G22" i="17"/>
  <c r="F22" i="17"/>
  <c r="E22" i="17"/>
  <c r="D22" i="17"/>
  <c r="V21" i="17"/>
  <c r="U21" i="17"/>
  <c r="T21" i="17"/>
  <c r="T47" i="17" s="1"/>
  <c r="S21" i="17"/>
  <c r="R21" i="17"/>
  <c r="R42" i="17" s="1"/>
  <c r="Q21" i="17"/>
  <c r="P21" i="17"/>
  <c r="P47" i="17" s="1"/>
  <c r="O21" i="17"/>
  <c r="N21" i="17"/>
  <c r="M21" i="17"/>
  <c r="L21" i="17"/>
  <c r="L47" i="17" s="1"/>
  <c r="K21" i="17"/>
  <c r="J21" i="17"/>
  <c r="I21" i="17"/>
  <c r="H21" i="17"/>
  <c r="H47" i="17" s="1"/>
  <c r="G21" i="17"/>
  <c r="F21" i="17"/>
  <c r="E21" i="17"/>
  <c r="D21" i="17"/>
  <c r="B40" i="17"/>
  <c r="B32" i="17"/>
  <c r="B65" i="17" s="1"/>
  <c r="B33" i="17"/>
  <c r="B66" i="17" s="1"/>
  <c r="B34" i="17"/>
  <c r="B67" i="17" s="1"/>
  <c r="B35" i="17"/>
  <c r="B68" i="17" s="1"/>
  <c r="Y68" i="17" s="1"/>
  <c r="B36" i="17"/>
  <c r="B69" i="17" s="1"/>
  <c r="B37" i="17"/>
  <c r="B70" i="17" s="1"/>
  <c r="B38" i="17"/>
  <c r="B71" i="17" s="1"/>
  <c r="B31" i="17"/>
  <c r="B64" i="17" s="1"/>
  <c r="B26" i="17"/>
  <c r="B59" i="17" s="1"/>
  <c r="I25" i="2"/>
  <c r="R40" i="17" l="1"/>
  <c r="G54" i="17"/>
  <c r="K42" i="17"/>
  <c r="K47" i="17"/>
  <c r="O42" i="17"/>
  <c r="O47" i="17"/>
  <c r="S42" i="17"/>
  <c r="S47" i="17"/>
  <c r="N25" i="17"/>
  <c r="R33" i="17"/>
  <c r="F54" i="17"/>
  <c r="N42" i="17"/>
  <c r="N47" i="17"/>
  <c r="V31" i="17"/>
  <c r="D54" i="17"/>
  <c r="J28" i="17"/>
  <c r="R35" i="17"/>
  <c r="J44" i="17"/>
  <c r="J47" i="17"/>
  <c r="R44" i="17"/>
  <c r="R47" i="17"/>
  <c r="V54" i="17"/>
  <c r="V47" i="17"/>
  <c r="E54" i="17"/>
  <c r="I44" i="17"/>
  <c r="I47" i="17"/>
  <c r="M44" i="17"/>
  <c r="M47" i="17"/>
  <c r="Q44" i="17"/>
  <c r="Q47" i="17"/>
  <c r="U42" i="17"/>
  <c r="U47" i="17"/>
  <c r="S54" i="17"/>
  <c r="R37" i="17"/>
  <c r="O54" i="17"/>
  <c r="H24" i="17"/>
  <c r="R25" i="17"/>
  <c r="N28" i="17"/>
  <c r="J31" i="17"/>
  <c r="V33" i="17"/>
  <c r="V35" i="17"/>
  <c r="V37" i="17"/>
  <c r="V40" i="17"/>
  <c r="K54" i="17"/>
  <c r="V25" i="17"/>
  <c r="R28" i="17"/>
  <c r="N31" i="17"/>
  <c r="J33" i="17"/>
  <c r="J35" i="17"/>
  <c r="J37" i="17"/>
  <c r="J40" i="17"/>
  <c r="V42" i="17"/>
  <c r="J25" i="17"/>
  <c r="V28" i="17"/>
  <c r="R31" i="17"/>
  <c r="N33" i="17"/>
  <c r="N35" i="17"/>
  <c r="N37" i="17"/>
  <c r="N40" i="17"/>
  <c r="H47" i="20"/>
  <c r="H45" i="20"/>
  <c r="H49" i="20"/>
  <c r="H51" i="20"/>
  <c r="P47" i="20"/>
  <c r="P45" i="20"/>
  <c r="P49" i="20"/>
  <c r="P51" i="20"/>
  <c r="J51" i="20"/>
  <c r="J47" i="20"/>
  <c r="J45" i="20"/>
  <c r="J49" i="20"/>
  <c r="N51" i="20"/>
  <c r="N47" i="20"/>
  <c r="N45" i="20"/>
  <c r="N49" i="20"/>
  <c r="R51" i="20"/>
  <c r="R47" i="20"/>
  <c r="R45" i="20"/>
  <c r="R49" i="20"/>
  <c r="G49" i="20"/>
  <c r="G51" i="20"/>
  <c r="G47" i="20"/>
  <c r="G45" i="20"/>
  <c r="K49" i="20"/>
  <c r="K51" i="20"/>
  <c r="K47" i="20"/>
  <c r="K45" i="20"/>
  <c r="O49" i="20"/>
  <c r="O51" i="20"/>
  <c r="O47" i="20"/>
  <c r="O45" i="20"/>
  <c r="S49" i="20"/>
  <c r="S51" i="20"/>
  <c r="S47" i="20"/>
  <c r="S45" i="20"/>
  <c r="L47" i="20"/>
  <c r="L45" i="20"/>
  <c r="L49" i="20"/>
  <c r="L51" i="20"/>
  <c r="T47" i="20"/>
  <c r="T45" i="20"/>
  <c r="T49" i="20"/>
  <c r="T51" i="20"/>
  <c r="I51" i="20"/>
  <c r="I47" i="20"/>
  <c r="I45" i="20"/>
  <c r="I49" i="20"/>
  <c r="M51" i="20"/>
  <c r="M47" i="20"/>
  <c r="M45" i="20"/>
  <c r="M49" i="20"/>
  <c r="Q51" i="20"/>
  <c r="Q47" i="20"/>
  <c r="Q45" i="20"/>
  <c r="Q49" i="20"/>
  <c r="U47" i="20"/>
  <c r="U45" i="20"/>
  <c r="U51" i="20"/>
  <c r="U49" i="20"/>
  <c r="R35" i="20"/>
  <c r="N35" i="20"/>
  <c r="J35" i="20"/>
  <c r="U35" i="20"/>
  <c r="Q35" i="20"/>
  <c r="M35" i="20"/>
  <c r="I35" i="20"/>
  <c r="T35" i="20"/>
  <c r="P35" i="20"/>
  <c r="L35" i="20"/>
  <c r="H35" i="20"/>
  <c r="V25" i="20"/>
  <c r="S35" i="20"/>
  <c r="O35" i="20"/>
  <c r="K35" i="20"/>
  <c r="G35" i="20"/>
  <c r="V26" i="20"/>
  <c r="D32" i="20" s="1"/>
  <c r="D49" i="20" s="1"/>
  <c r="Y25" i="20"/>
  <c r="Y26" i="20"/>
  <c r="L44" i="17"/>
  <c r="L54" i="17"/>
  <c r="T44" i="17"/>
  <c r="T54" i="17"/>
  <c r="L40" i="17"/>
  <c r="L37" i="17"/>
  <c r="L35" i="17"/>
  <c r="L33" i="17"/>
  <c r="L31" i="17"/>
  <c r="L28" i="17"/>
  <c r="L25" i="17"/>
  <c r="L38" i="17"/>
  <c r="L36" i="17"/>
  <c r="L34" i="17"/>
  <c r="P40" i="17"/>
  <c r="P37" i="17"/>
  <c r="P35" i="17"/>
  <c r="P33" i="17"/>
  <c r="P31" i="17"/>
  <c r="P28" i="17"/>
  <c r="P25" i="17"/>
  <c r="P38" i="17"/>
  <c r="P36" i="17"/>
  <c r="P34" i="17"/>
  <c r="T40" i="17"/>
  <c r="T37" i="17"/>
  <c r="T35" i="17"/>
  <c r="T33" i="17"/>
  <c r="T31" i="17"/>
  <c r="T28" i="17"/>
  <c r="T25" i="17"/>
  <c r="T38" i="17"/>
  <c r="T36" i="17"/>
  <c r="T34" i="17"/>
  <c r="L24" i="17"/>
  <c r="H26" i="17"/>
  <c r="T29" i="17"/>
  <c r="P32" i="17"/>
  <c r="H44" i="17"/>
  <c r="H54" i="17"/>
  <c r="P24" i="17"/>
  <c r="L26" i="17"/>
  <c r="T32" i="17"/>
  <c r="P44" i="17"/>
  <c r="P54" i="17"/>
  <c r="H40" i="17"/>
  <c r="H37" i="17"/>
  <c r="H35" i="17"/>
  <c r="H33" i="17"/>
  <c r="H31" i="17"/>
  <c r="H28" i="17"/>
  <c r="H25" i="17"/>
  <c r="H38" i="17"/>
  <c r="H36" i="17"/>
  <c r="H34" i="17"/>
  <c r="T24" i="17"/>
  <c r="P26" i="17"/>
  <c r="L29" i="17"/>
  <c r="H32" i="17"/>
  <c r="V44" i="17"/>
  <c r="R54" i="17"/>
  <c r="N54" i="17"/>
  <c r="J54" i="17"/>
  <c r="I24" i="17"/>
  <c r="M24" i="17"/>
  <c r="Q24" i="17"/>
  <c r="U24" i="17"/>
  <c r="K25" i="17"/>
  <c r="O25" i="17"/>
  <c r="S25" i="17"/>
  <c r="I26" i="17"/>
  <c r="M26" i="17"/>
  <c r="Q26" i="17"/>
  <c r="U26" i="17"/>
  <c r="K28" i="17"/>
  <c r="O28" i="17"/>
  <c r="S28" i="17"/>
  <c r="I29" i="17"/>
  <c r="M29" i="17"/>
  <c r="Q29" i="17"/>
  <c r="U29" i="17"/>
  <c r="K31" i="17"/>
  <c r="O31" i="17"/>
  <c r="S31" i="17"/>
  <c r="I32" i="17"/>
  <c r="M32" i="17"/>
  <c r="Q32" i="17"/>
  <c r="U32" i="17"/>
  <c r="K33" i="17"/>
  <c r="O33" i="17"/>
  <c r="S33" i="17"/>
  <c r="I34" i="17"/>
  <c r="M34" i="17"/>
  <c r="Q34" i="17"/>
  <c r="U34" i="17"/>
  <c r="K35" i="17"/>
  <c r="O35" i="17"/>
  <c r="S35" i="17"/>
  <c r="I36" i="17"/>
  <c r="M36" i="17"/>
  <c r="Q36" i="17"/>
  <c r="U36" i="17"/>
  <c r="K37" i="17"/>
  <c r="O37" i="17"/>
  <c r="S37" i="17"/>
  <c r="I38" i="17"/>
  <c r="M38" i="17"/>
  <c r="Q38" i="17"/>
  <c r="U38" i="17"/>
  <c r="K40" i="17"/>
  <c r="O40" i="17"/>
  <c r="S40" i="17"/>
  <c r="N44" i="17"/>
  <c r="U54" i="17"/>
  <c r="Q54" i="17"/>
  <c r="M54" i="17"/>
  <c r="I54" i="17"/>
  <c r="J24" i="17"/>
  <c r="N24" i="17"/>
  <c r="R24" i="17"/>
  <c r="V24" i="17"/>
  <c r="J26" i="17"/>
  <c r="N26" i="17"/>
  <c r="R26" i="17"/>
  <c r="V26" i="17"/>
  <c r="J29" i="17"/>
  <c r="N29" i="17"/>
  <c r="R29" i="17"/>
  <c r="V29" i="17"/>
  <c r="J32" i="17"/>
  <c r="N32" i="17"/>
  <c r="R32" i="17"/>
  <c r="V32" i="17"/>
  <c r="J34" i="17"/>
  <c r="N34" i="17"/>
  <c r="R34" i="17"/>
  <c r="V34" i="17"/>
  <c r="J36" i="17"/>
  <c r="N36" i="17"/>
  <c r="R36" i="17"/>
  <c r="V36" i="17"/>
  <c r="K24" i="17"/>
  <c r="O24" i="17"/>
  <c r="S24" i="17"/>
  <c r="I25" i="17"/>
  <c r="M25" i="17"/>
  <c r="Q25" i="17"/>
  <c r="U25" i="17"/>
  <c r="K26" i="17"/>
  <c r="O26" i="17"/>
  <c r="S26" i="17"/>
  <c r="I28" i="17"/>
  <c r="M28" i="17"/>
  <c r="Q28" i="17"/>
  <c r="U28" i="17"/>
  <c r="K29" i="17"/>
  <c r="O29" i="17"/>
  <c r="S29" i="17"/>
  <c r="I31" i="17"/>
  <c r="M31" i="17"/>
  <c r="Q31" i="17"/>
  <c r="U31" i="17"/>
  <c r="K32" i="17"/>
  <c r="O32" i="17"/>
  <c r="S32" i="17"/>
  <c r="I33" i="17"/>
  <c r="M33" i="17"/>
  <c r="Q33" i="17"/>
  <c r="U33" i="17"/>
  <c r="K34" i="17"/>
  <c r="O34" i="17"/>
  <c r="S34" i="17"/>
  <c r="I35" i="17"/>
  <c r="M35" i="17"/>
  <c r="Q35" i="17"/>
  <c r="U35" i="17"/>
  <c r="K36" i="17"/>
  <c r="O36" i="17"/>
  <c r="S36" i="17"/>
  <c r="I37" i="17"/>
  <c r="M37" i="17"/>
  <c r="Q37" i="17"/>
  <c r="U37" i="17"/>
  <c r="Y21" i="17"/>
  <c r="D38" i="17" s="1"/>
  <c r="S44" i="17"/>
  <c r="K44" i="17"/>
  <c r="O44" i="17"/>
  <c r="J42" i="17"/>
  <c r="Y22" i="17"/>
  <c r="E26" i="17" s="1"/>
  <c r="Q42" i="17"/>
  <c r="M42" i="17"/>
  <c r="I42" i="17"/>
  <c r="T42" i="17"/>
  <c r="P42" i="17"/>
  <c r="L42" i="17"/>
  <c r="H42" i="17"/>
  <c r="U44" i="17"/>
  <c r="D75" i="16"/>
  <c r="D77" i="16"/>
  <c r="D78" i="16"/>
  <c r="D79" i="16"/>
  <c r="D80" i="16"/>
  <c r="D81" i="16"/>
  <c r="D82" i="16"/>
  <c r="D83" i="16"/>
  <c r="D84" i="16"/>
  <c r="D85" i="16"/>
  <c r="D86" i="16"/>
  <c r="D87" i="16"/>
  <c r="D88" i="16"/>
  <c r="D89" i="16"/>
  <c r="D90" i="16"/>
  <c r="D91" i="16"/>
  <c r="D74" i="16"/>
  <c r="C74" i="16"/>
  <c r="C75" i="16"/>
  <c r="C76" i="16"/>
  <c r="D76" i="16" s="1"/>
  <c r="C77" i="16"/>
  <c r="C78" i="16"/>
  <c r="C79" i="16"/>
  <c r="C80" i="16"/>
  <c r="C81" i="16"/>
  <c r="C82" i="16"/>
  <c r="C83" i="16"/>
  <c r="C84" i="16"/>
  <c r="C85" i="16"/>
  <c r="C86" i="16"/>
  <c r="C87" i="16"/>
  <c r="C88" i="16"/>
  <c r="C89" i="16"/>
  <c r="C90" i="16"/>
  <c r="C91" i="16"/>
  <c r="C73" i="16"/>
  <c r="D73" i="16" s="1"/>
  <c r="B74" i="16"/>
  <c r="B75" i="16"/>
  <c r="B76" i="16"/>
  <c r="B77" i="16"/>
  <c r="E77" i="16" s="1"/>
  <c r="G30" i="20" s="1"/>
  <c r="B78" i="16"/>
  <c r="E78" i="16" s="1"/>
  <c r="H30" i="20" s="1"/>
  <c r="B79" i="16"/>
  <c r="E79" i="16" s="1"/>
  <c r="I30" i="20" s="1"/>
  <c r="B80" i="16"/>
  <c r="E80" i="16" s="1"/>
  <c r="J30" i="20" s="1"/>
  <c r="B81" i="16"/>
  <c r="E81" i="16" s="1"/>
  <c r="K30" i="20" s="1"/>
  <c r="B82" i="16"/>
  <c r="E82" i="16" s="1"/>
  <c r="L30" i="20" s="1"/>
  <c r="B83" i="16"/>
  <c r="E83" i="16" s="1"/>
  <c r="M30" i="20" s="1"/>
  <c r="B84" i="16"/>
  <c r="E84" i="16" s="1"/>
  <c r="N30" i="20" s="1"/>
  <c r="B85" i="16"/>
  <c r="E85" i="16" s="1"/>
  <c r="O30" i="20" s="1"/>
  <c r="B86" i="16"/>
  <c r="E86" i="16" s="1"/>
  <c r="P30" i="20" s="1"/>
  <c r="B87" i="16"/>
  <c r="E87" i="16" s="1"/>
  <c r="Q30" i="20" s="1"/>
  <c r="B88" i="16"/>
  <c r="E88" i="16" s="1"/>
  <c r="R30" i="20" s="1"/>
  <c r="B89" i="16"/>
  <c r="E89" i="16" s="1"/>
  <c r="S30" i="20" s="1"/>
  <c r="B90" i="16"/>
  <c r="E90" i="16" s="1"/>
  <c r="T30" i="20" s="1"/>
  <c r="B91" i="16"/>
  <c r="E91" i="16" s="1"/>
  <c r="U30" i="20" s="1"/>
  <c r="B73" i="16"/>
  <c r="F58" i="16"/>
  <c r="E59" i="16" s="1"/>
  <c r="E58" i="16"/>
  <c r="F57" i="16"/>
  <c r="C47" i="16"/>
  <c r="C34" i="16"/>
  <c r="F34" i="17" l="1"/>
  <c r="E34" i="17"/>
  <c r="G33" i="17"/>
  <c r="E31" i="17"/>
  <c r="D26" i="17"/>
  <c r="D47" i="20"/>
  <c r="D51" i="20"/>
  <c r="E32" i="20"/>
  <c r="F32" i="20"/>
  <c r="C32" i="20"/>
  <c r="D34" i="17"/>
  <c r="E37" i="17"/>
  <c r="G36" i="17"/>
  <c r="G26" i="17"/>
  <c r="F32" i="17"/>
  <c r="G40" i="17"/>
  <c r="E32" i="17"/>
  <c r="G31" i="17"/>
  <c r="D40" i="17"/>
  <c r="D32" i="17"/>
  <c r="D37" i="17"/>
  <c r="F37" i="17"/>
  <c r="F40" i="17"/>
  <c r="F35" i="17"/>
  <c r="F33" i="17"/>
  <c r="F31" i="17"/>
  <c r="E35" i="17"/>
  <c r="G34" i="17"/>
  <c r="E38" i="17"/>
  <c r="G37" i="17"/>
  <c r="F38" i="17"/>
  <c r="D35" i="17"/>
  <c r="D36" i="17"/>
  <c r="G38" i="17"/>
  <c r="X38" i="17" s="1"/>
  <c r="Y38" i="17" s="1"/>
  <c r="D33" i="17"/>
  <c r="E33" i="17"/>
  <c r="G32" i="17"/>
  <c r="F36" i="17"/>
  <c r="F26" i="17"/>
  <c r="X26" i="17" s="1"/>
  <c r="Y26" i="17" s="1"/>
  <c r="E36" i="17"/>
  <c r="G35" i="17"/>
  <c r="E40" i="17"/>
  <c r="D31" i="17"/>
  <c r="X31" i="17" s="1"/>
  <c r="Y31" i="17" s="1"/>
  <c r="X33" i="17" l="1"/>
  <c r="Y33" i="17" s="1"/>
  <c r="X37" i="17"/>
  <c r="Y37" i="17" s="1"/>
  <c r="X32" i="17"/>
  <c r="Y32" i="17" s="1"/>
  <c r="C51" i="20"/>
  <c r="C47" i="20"/>
  <c r="C49" i="20"/>
  <c r="E51" i="20"/>
  <c r="E47" i="20"/>
  <c r="E49" i="20"/>
  <c r="F47" i="20"/>
  <c r="F49" i="20"/>
  <c r="F51" i="20"/>
  <c r="X34" i="17"/>
  <c r="Y34" i="17" s="1"/>
  <c r="X35" i="17"/>
  <c r="Y35" i="17" s="1"/>
  <c r="X40" i="17"/>
  <c r="Y40" i="17" s="1"/>
  <c r="X36" i="17"/>
  <c r="Y36" i="17" s="1"/>
  <c r="C16" i="16" l="1"/>
  <c r="C15" i="16"/>
  <c r="E17" i="6" l="1"/>
  <c r="D13" i="6"/>
  <c r="F40" i="6"/>
  <c r="F41" i="6" s="1"/>
  <c r="F29" i="6"/>
  <c r="F30" i="6"/>
  <c r="F31" i="6"/>
  <c r="F32" i="6"/>
  <c r="F33" i="6"/>
  <c r="F34" i="6"/>
  <c r="F35" i="6"/>
  <c r="F28" i="6"/>
  <c r="F11" i="6"/>
  <c r="B25" i="17" s="1"/>
  <c r="F12" i="6"/>
  <c r="F10" i="6"/>
  <c r="B24" i="17" s="1"/>
  <c r="D41" i="6"/>
  <c r="D36" i="6"/>
  <c r="D19" i="6"/>
  <c r="B57" i="17" l="1"/>
  <c r="F24" i="17"/>
  <c r="D24" i="17"/>
  <c r="E24" i="17"/>
  <c r="G24" i="17"/>
  <c r="F25" i="17"/>
  <c r="D25" i="17"/>
  <c r="E25" i="17"/>
  <c r="G25" i="17"/>
  <c r="B58" i="17"/>
  <c r="Y58" i="17" s="1"/>
  <c r="L15" i="6"/>
  <c r="M15" i="6" s="1"/>
  <c r="L14" i="6"/>
  <c r="M14" i="6" s="1"/>
  <c r="G17" i="6" s="1"/>
  <c r="B28" i="17" s="1"/>
  <c r="F36" i="6"/>
  <c r="C45" i="6" s="1"/>
  <c r="F13" i="6"/>
  <c r="K9" i="4"/>
  <c r="K10" i="4"/>
  <c r="K11" i="4"/>
  <c r="K12" i="4"/>
  <c r="K13" i="4"/>
  <c r="K14" i="4"/>
  <c r="K15" i="4"/>
  <c r="K16" i="4"/>
  <c r="K17" i="4"/>
  <c r="K18" i="4"/>
  <c r="K19" i="4"/>
  <c r="K20" i="4"/>
  <c r="K21" i="4"/>
  <c r="K22" i="4"/>
  <c r="K23" i="4"/>
  <c r="K24" i="4"/>
  <c r="K25" i="4"/>
  <c r="K26" i="4"/>
  <c r="K8" i="4"/>
  <c r="E37" i="4"/>
  <c r="E38" i="4"/>
  <c r="E39" i="4"/>
  <c r="E40" i="4"/>
  <c r="E36" i="4"/>
  <c r="E29" i="4"/>
  <c r="E30" i="4"/>
  <c r="E31" i="4"/>
  <c r="E32" i="4"/>
  <c r="E33" i="4"/>
  <c r="E34" i="4"/>
  <c r="E28" i="4"/>
  <c r="E9" i="4"/>
  <c r="J9" i="4" s="1"/>
  <c r="E10" i="4"/>
  <c r="I10" i="4" s="1"/>
  <c r="E11" i="4"/>
  <c r="J11" i="4" s="1"/>
  <c r="E12" i="4"/>
  <c r="J12" i="4" s="1"/>
  <c r="E13" i="4"/>
  <c r="J13" i="4" s="1"/>
  <c r="E14" i="4"/>
  <c r="J14" i="4" s="1"/>
  <c r="E15" i="4"/>
  <c r="I15" i="4" s="1"/>
  <c r="E16" i="4"/>
  <c r="I16" i="4" s="1"/>
  <c r="E17" i="4"/>
  <c r="J17" i="4" s="1"/>
  <c r="E18" i="4"/>
  <c r="I18" i="4" s="1"/>
  <c r="E19" i="4"/>
  <c r="I19" i="4" s="1"/>
  <c r="E20" i="4"/>
  <c r="I20" i="4" s="1"/>
  <c r="E21" i="4"/>
  <c r="I21" i="4" s="1"/>
  <c r="E22" i="4"/>
  <c r="J22" i="4" s="1"/>
  <c r="E23" i="4"/>
  <c r="I23" i="4" s="1"/>
  <c r="E24" i="4"/>
  <c r="I24" i="4" s="1"/>
  <c r="E25" i="4"/>
  <c r="I25" i="4" s="1"/>
  <c r="E26" i="4"/>
  <c r="J26" i="4" s="1"/>
  <c r="E8" i="4"/>
  <c r="I8" i="4" s="1"/>
  <c r="I37" i="4"/>
  <c r="I38" i="4"/>
  <c r="I39" i="4"/>
  <c r="I40" i="4"/>
  <c r="I36" i="4"/>
  <c r="J35" i="4" s="1"/>
  <c r="J16" i="4"/>
  <c r="D22" i="2"/>
  <c r="H25" i="2"/>
  <c r="H22" i="2"/>
  <c r="H19" i="2"/>
  <c r="H16" i="2"/>
  <c r="H13" i="2"/>
  <c r="X24" i="17" l="1"/>
  <c r="Y24" i="17" s="1"/>
  <c r="X25" i="17"/>
  <c r="Y25" i="17" s="1"/>
  <c r="B61" i="17"/>
  <c r="E28" i="17"/>
  <c r="G28" i="17"/>
  <c r="D28" i="17"/>
  <c r="F28" i="17"/>
  <c r="J24" i="4"/>
  <c r="I17" i="4"/>
  <c r="I26" i="4"/>
  <c r="J20" i="4"/>
  <c r="J23" i="4"/>
  <c r="J19" i="4"/>
  <c r="J15" i="4"/>
  <c r="I22" i="4"/>
  <c r="J18" i="4"/>
  <c r="J25" i="4"/>
  <c r="J21" i="4"/>
  <c r="I12" i="4"/>
  <c r="I14" i="4"/>
  <c r="I13" i="4"/>
  <c r="K6" i="4"/>
  <c r="E40" i="2" s="1"/>
  <c r="I11" i="4"/>
  <c r="J8" i="4"/>
  <c r="J10" i="4"/>
  <c r="I9" i="4"/>
  <c r="X28" i="17" l="1"/>
  <c r="Y28" i="17" s="1"/>
  <c r="D41" i="2"/>
  <c r="H40" i="2"/>
  <c r="I6" i="4"/>
  <c r="E34" i="2" s="1"/>
  <c r="D35" i="2" s="1"/>
  <c r="J6" i="4"/>
  <c r="H34" i="2" l="1"/>
  <c r="E31" i="2"/>
  <c r="E37" i="2"/>
  <c r="D38" i="2" s="1"/>
  <c r="H31" i="2" l="1"/>
  <c r="G18" i="6"/>
  <c r="D32" i="2"/>
  <c r="H37" i="2"/>
  <c r="F17" i="2"/>
  <c r="F16" i="2"/>
  <c r="G19" i="6" l="1"/>
  <c r="B29" i="17"/>
  <c r="C23" i="6" l="1"/>
  <c r="D51" i="6" s="1"/>
  <c r="F14" i="23" s="1"/>
  <c r="F24" i="23" s="1"/>
  <c r="C16" i="17" s="1"/>
  <c r="H19" i="6"/>
  <c r="C22" i="6" s="1"/>
  <c r="C53" i="6" s="1"/>
  <c r="B62" i="17"/>
  <c r="B42" i="17"/>
  <c r="B45" i="17" s="1"/>
  <c r="G29" i="17"/>
  <c r="G42" i="17" s="1"/>
  <c r="E29" i="17"/>
  <c r="E42" i="17" s="1"/>
  <c r="F29" i="17"/>
  <c r="F42" i="17" s="1"/>
  <c r="D29" i="17"/>
  <c r="B47" i="17" l="1"/>
  <c r="B50" i="17" s="1"/>
  <c r="E44" i="17"/>
  <c r="E49" i="17"/>
  <c r="D28" i="20" s="1"/>
  <c r="G44" i="17"/>
  <c r="G49" i="17"/>
  <c r="F28" i="20" s="1"/>
  <c r="F44" i="17"/>
  <c r="F49" i="17"/>
  <c r="E28" i="20" s="1"/>
  <c r="X29" i="17"/>
  <c r="Y29" i="17" s="1"/>
  <c r="D42" i="17"/>
  <c r="G47" i="17" l="1"/>
  <c r="F47" i="17"/>
  <c r="E47" i="17"/>
  <c r="D44" i="17"/>
  <c r="D49" i="17"/>
  <c r="D47" i="17"/>
  <c r="C28" i="20" l="1"/>
  <c r="C21" i="16"/>
  <c r="C51" i="16" s="1"/>
  <c r="E74" i="16" l="1"/>
  <c r="D30" i="20" s="1"/>
  <c r="G57" i="16"/>
  <c r="E75" i="16"/>
  <c r="E30" i="20" s="1"/>
  <c r="E76" i="16"/>
  <c r="F30" i="20" s="1"/>
  <c r="E73" i="16"/>
  <c r="C30" i="20" s="1"/>
  <c r="C35" i="20" s="1"/>
  <c r="C41" i="20" l="1"/>
  <c r="C45" i="20"/>
  <c r="E35" i="20"/>
  <c r="E45" i="20"/>
  <c r="E41" i="20"/>
  <c r="F35" i="20"/>
  <c r="F45" i="20"/>
  <c r="F41" i="20"/>
  <c r="E93" i="16"/>
  <c r="G58" i="16"/>
  <c r="H58" i="16" s="1"/>
  <c r="C58" i="16" s="1"/>
  <c r="H57" i="16"/>
  <c r="C57" i="16" s="1"/>
  <c r="D41" i="20"/>
  <c r="D45" i="20"/>
  <c r="D35" i="20"/>
  <c r="G59" i="16" l="1"/>
  <c r="H59" i="16" s="1"/>
  <c r="C59" i="16" s="1"/>
  <c r="C61" i="16" s="1"/>
  <c r="C63" i="16" s="1"/>
  <c r="G16" i="20" s="1"/>
  <c r="I20" i="20" s="1"/>
</calcChain>
</file>

<file path=xl/comments1.xml><?xml version="1.0" encoding="utf-8"?>
<comments xmlns="http://schemas.openxmlformats.org/spreadsheetml/2006/main">
  <authors>
    <author>Auteur</author>
  </authors>
  <commentList>
    <comment ref="I6" authorId="0" shapeId="0">
      <text>
        <r>
          <rPr>
            <b/>
            <sz val="9"/>
            <color indexed="81"/>
            <rFont val="Tahoma"/>
            <family val="2"/>
          </rPr>
          <t>Auteur:</t>
        </r>
        <r>
          <rPr>
            <sz val="9"/>
            <color indexed="81"/>
            <rFont val="Tahoma"/>
            <family val="2"/>
          </rPr>
          <t xml:space="preserve">
somme des associés para médicaux</t>
        </r>
      </text>
    </comment>
    <comment ref="J6" authorId="0" shapeId="0">
      <text>
        <r>
          <rPr>
            <b/>
            <sz val="9"/>
            <color indexed="81"/>
            <rFont val="Tahoma"/>
            <family val="2"/>
          </rPr>
          <t>Auteur:</t>
        </r>
        <r>
          <rPr>
            <sz val="9"/>
            <color indexed="81"/>
            <rFont val="Tahoma"/>
            <family val="2"/>
          </rPr>
          <t xml:space="preserve">
somme des associés médicaux
</t>
        </r>
      </text>
    </comment>
    <comment ref="J35" authorId="0" shapeId="0">
      <text>
        <r>
          <rPr>
            <b/>
            <sz val="9"/>
            <color indexed="81"/>
            <rFont val="Tahoma"/>
            <family val="2"/>
          </rPr>
          <t>Auteur:</t>
        </r>
        <r>
          <rPr>
            <sz val="9"/>
            <color indexed="81"/>
            <rFont val="Tahoma"/>
            <family val="2"/>
          </rPr>
          <t xml:space="preserve">
somme des associés spécialistes</t>
        </r>
      </text>
    </comment>
  </commentList>
</comments>
</file>

<file path=xl/sharedStrings.xml><?xml version="1.0" encoding="utf-8"?>
<sst xmlns="http://schemas.openxmlformats.org/spreadsheetml/2006/main" count="484" uniqueCount="268">
  <si>
    <t>Client :</t>
  </si>
  <si>
    <t>Préparé par :</t>
  </si>
  <si>
    <t>Date d'arrêté :</t>
  </si>
  <si>
    <t>Le :</t>
  </si>
  <si>
    <t xml:space="preserve">Opérations ou comptes contrôles </t>
  </si>
  <si>
    <t>Cycle :</t>
  </si>
  <si>
    <t>Revu par :</t>
  </si>
  <si>
    <t>Feuilles de travail :</t>
  </si>
  <si>
    <t>Régime fiscal de la SISA</t>
  </si>
  <si>
    <t>regime_fiscal</t>
  </si>
  <si>
    <t>Impôt sur le revenu</t>
  </si>
  <si>
    <t>Impôt sur les sociétés</t>
  </si>
  <si>
    <t>Option comptable</t>
  </si>
  <si>
    <t>IR - Trésorerie</t>
  </si>
  <si>
    <t>IS - Engagement</t>
  </si>
  <si>
    <t>IR - Option créances et dettes</t>
  </si>
  <si>
    <t>option_comptable</t>
  </si>
  <si>
    <t>Structure du capital</t>
  </si>
  <si>
    <t>structure_du_capital</t>
  </si>
  <si>
    <t>Fixe</t>
  </si>
  <si>
    <t>Variable</t>
  </si>
  <si>
    <t>Montant du capital</t>
  </si>
  <si>
    <t>Nombre de parts sociales</t>
  </si>
  <si>
    <t>Nombre d'associés</t>
  </si>
  <si>
    <t>La maison de santé</t>
  </si>
  <si>
    <t xml:space="preserve">Nom de la SISA </t>
  </si>
  <si>
    <t>N° FINESS</t>
  </si>
  <si>
    <t xml:space="preserve"> </t>
  </si>
  <si>
    <t>Personne(s) contact(s)</t>
  </si>
  <si>
    <t>Adresse de la MSP 
(à préciser)</t>
  </si>
  <si>
    <t>Equipe pluriprofessionnelle</t>
  </si>
  <si>
    <t>Composition de l'équipe pluriprofessionnelle (nominativement)</t>
  </si>
  <si>
    <t>Nom-Prénom</t>
  </si>
  <si>
    <t>Profession</t>
  </si>
  <si>
    <t>Numéro AM / RPPS</t>
  </si>
  <si>
    <t>Nombre de jours de présence 
par semaine</t>
  </si>
  <si>
    <t>MEMBRES DE LA SISA</t>
  </si>
  <si>
    <t xml:space="preserve">
Maison de Santé Pluriprofessionnelle de </t>
  </si>
  <si>
    <t>HORS MEMEBRES DE LA SISA (Hors spécialistes)</t>
  </si>
  <si>
    <t>HORS MEMEBRES DE LA SISA (spécialistes)</t>
  </si>
  <si>
    <t>Typologie de profession</t>
  </si>
  <si>
    <t>liste_profession</t>
  </si>
  <si>
    <t>Sage-femme</t>
  </si>
  <si>
    <t>Chirurgien dentiste</t>
  </si>
  <si>
    <t>Pharmacien</t>
  </si>
  <si>
    <t>Biologiste</t>
  </si>
  <si>
    <t>Médecin Généraliste</t>
  </si>
  <si>
    <t>Médecin Spécialiste</t>
  </si>
  <si>
    <t>Auxiliaire médical</t>
  </si>
  <si>
    <t>Aide-soignant</t>
  </si>
  <si>
    <t>Ambulancier</t>
  </si>
  <si>
    <t>Infirmier</t>
  </si>
  <si>
    <t>Kinésithérapeute</t>
  </si>
  <si>
    <t>Pédicure-podologue</t>
  </si>
  <si>
    <t>Orthophoniste</t>
  </si>
  <si>
    <t>Orthoptiste</t>
  </si>
  <si>
    <t>Audioprothésiste</t>
  </si>
  <si>
    <t>Opticien</t>
  </si>
  <si>
    <t>Prothésiste / Orthésiste</t>
  </si>
  <si>
    <t>Manipulateur radio</t>
  </si>
  <si>
    <t>Technicien de labo</t>
  </si>
  <si>
    <t>Diététicien</t>
  </si>
  <si>
    <t>profession_medicale</t>
  </si>
  <si>
    <t>profession_paramedicale</t>
  </si>
  <si>
    <t>type_profession</t>
  </si>
  <si>
    <t>Profession paramédicale</t>
  </si>
  <si>
    <t>Profession médicale</t>
  </si>
  <si>
    <t>compteur profession para</t>
  </si>
  <si>
    <t>compteur profession medicale</t>
  </si>
  <si>
    <t>compteur spécialiste</t>
  </si>
  <si>
    <t>compteur de médecins</t>
  </si>
  <si>
    <t>Dont nombre d'associés "profession para-médicale"</t>
  </si>
  <si>
    <t>Dont nombre d'associés "profession médicale"</t>
  </si>
  <si>
    <t>Calcul de la dotation NMR</t>
  </si>
  <si>
    <t>Taux CMU-c                     si &gt; 7,5%</t>
  </si>
  <si>
    <t>Taux AME                       si &gt; 0,4%</t>
  </si>
  <si>
    <t>S'ils sont inférieurs, laisser le nombre saisi</t>
  </si>
  <si>
    <t>Socle Fixe</t>
  </si>
  <si>
    <t>Nombre de points</t>
  </si>
  <si>
    <t>Votre MSP               points fixe socle</t>
  </si>
  <si>
    <t>Socle : tous les critères sont prérequis pour déclencher la rémunération</t>
  </si>
  <si>
    <t>Socle fixe</t>
  </si>
  <si>
    <t>1 - Accès aux soins</t>
  </si>
  <si>
    <t xml:space="preserve">2 Critères : 
1. Ouverture de 8 heures à 20 h en semaine et le samedi matin de 8h à 12h et congés scolaires.            
2. Accès à des soins non programmés chaque jour ouvré. 
</t>
  </si>
  <si>
    <t>2 -Travail en équipe</t>
  </si>
  <si>
    <t>Elaboration par la structure, en référence aux recommandations de la HAS, de protocoles pluri-professionnels pour la prise en charge et le suivi des patients concernés par les pathologies visées à l’article 3.2 du règlement arbitral.</t>
  </si>
  <si>
    <t>3 - Système d'information</t>
  </si>
  <si>
    <t>1 critère: Système d’information conforme au cahier des charges de l’ASIP santé labellisé de niveau 1, au plus tard le 31/12 de l’année de signature du contrat (ou le 31/12/2016 pour les contrats signés en 2015). Au-delà de cette date, dossiers informatisés des patients partagés, au moyen d’habilitations différenciées, entre les professionnels de santé intervenant dans la prise en charge du patient. La valorisation est fonction de la part des patients dont les dossiers informatisés et partagés sont renseignés. Elle doit atteindre 33 % la 1ère année suivant la mise en place du logiciel, et 66 % la 2ème année. Par dérogation jusqu’au 31/12/2016, ce critère est considéré rempli si la structure dispose d’un logiciel partagé entre plusieurs professionnels de santé de la structure et compatible avec le DMP.</t>
  </si>
  <si>
    <t xml:space="preserve">Socle fixe : nombre de points </t>
  </si>
  <si>
    <t xml:space="preserve">Socle Variable </t>
  </si>
  <si>
    <t>Nombre de points   pour 4000 patients</t>
  </si>
  <si>
    <t>Votre MSP                     points variable socle</t>
  </si>
  <si>
    <t>Socle : tous les les critères sont prérequis pour déclencher la rémunération</t>
  </si>
  <si>
    <t>Socle variable</t>
  </si>
  <si>
    <t>1 critère: Concertation formalisée et régulière (moyenne 1 fois/mois) entre médecins et autres professionnels de santé. Ces revues pluri-professionnelles portent sur des affections visées à l’article 3.2 du règlement arbitral. Compte rendu intégré dans dossier informatisé du patient, sous forme paramétrable permettant requête informatique et alimentant le dossier médical partagé. Comptes rendus mis à disposition du service médical de l’assurance maladie. Objectif: 1 réunion/mois en moyenne et 3 % des patients de la structure sous réserve de leur consentement au partage d’information. Taux de réalisation calculé par rapport à cet objectif.</t>
  </si>
  <si>
    <t xml:space="preserve">Socle variable : nombre de points </t>
  </si>
  <si>
    <t>Votre MSP : total points socle</t>
  </si>
  <si>
    <t>Optionnel Fixe</t>
  </si>
  <si>
    <t>Votre MSP   points fixe optionnel</t>
  </si>
  <si>
    <t>OPTIONNEL</t>
  </si>
  <si>
    <t>Optionnel fixe</t>
  </si>
  <si>
    <t>1 - Accès aux soins
(niveau 1)</t>
  </si>
  <si>
    <t>Consultations de spécialistes de second recours ou accès à sage-femme ou chirurgien dentiste extérieurs à la structure ou pharmacien d'officine , au moins 2 jours/mois</t>
  </si>
  <si>
    <t>2 - Accès aux soins
(niveau 2 cumultatif)</t>
  </si>
  <si>
    <t>Consultations de spécialistes de second recours ou accès à sage-femme ou chirurgien dentiste extérieurs à la structure ou pharmacien d'officine , au moins 2,5 jours/semaine (soit 0,5 ETP)</t>
  </si>
  <si>
    <t>1 - Accès aux soins
(niveau 2 cumulatif)</t>
  </si>
  <si>
    <t xml:space="preserve">1 - Accès aux soins
</t>
  </si>
  <si>
    <t xml:space="preserve">Accueil de médecins intervenant dans la structure dans le cadre d'un CSTM (Contrat Solidarité Territoriale Médecin) </t>
  </si>
  <si>
    <t>Satisfaction des patients</t>
  </si>
  <si>
    <t>1 Critère: Formation des jeunes professionnels de santé (2 stages/an)</t>
  </si>
  <si>
    <t>1 Critère: Système d’information conforme au cahier des charges de l’ASIP santé labellisé de niveau 2</t>
  </si>
  <si>
    <t>Optionnel fixe : nombre de points</t>
  </si>
  <si>
    <t>Optionnel Variable</t>
  </si>
  <si>
    <t>Optionnel variable</t>
  </si>
  <si>
    <t>1 critère (2 missions maximum): Missions de santé publique répondant à des spécificités territoriales et aux objectifs du projet régional de santé (PRS) à choisir dans la liste des thèmes (annexe 4). Par projet 350 points et maximum 2 projets rémunérés</t>
  </si>
  <si>
    <t>Optionnel variable : nombre de points</t>
  </si>
  <si>
    <t>Votre MSP : total points optionnel</t>
  </si>
  <si>
    <t xml:space="preserve">Valeur du point </t>
  </si>
  <si>
    <t>Dotation de votre équipe</t>
  </si>
  <si>
    <r>
      <t xml:space="preserve">Offre d’une diversité de services de soins médicaux spécialisés et paramédicaux assurée par les professionnels associés de la structure ou salariés de la structure pour les centres de santé (au moins 2 professions médicales différentes en sus de la médecine générale </t>
    </r>
    <r>
      <rPr>
        <b/>
        <u/>
        <sz val="11"/>
        <color theme="1"/>
        <rFont val="Calibri"/>
        <family val="2"/>
        <scheme val="minor"/>
      </rPr>
      <t>ou</t>
    </r>
    <r>
      <rPr>
        <sz val="11"/>
        <color theme="1"/>
        <rFont val="Calibri"/>
        <family val="2"/>
        <scheme val="minor"/>
      </rPr>
      <t xml:space="preserve"> au moins 3 professions para-médicales différentes)</t>
    </r>
  </si>
  <si>
    <r>
      <t xml:space="preserve">Offre d’une diversité de services de soins médicaux spécialisés et paramédicaux assurée par les professionnels associés de la structure ou salariés de centres de santé (au moins 2 professions médicales différentes en sus de la médecine générale </t>
    </r>
    <r>
      <rPr>
        <b/>
        <u/>
        <sz val="11"/>
        <color theme="1"/>
        <rFont val="Calibri"/>
        <family val="2"/>
        <scheme val="minor"/>
      </rPr>
      <t>et</t>
    </r>
    <r>
      <rPr>
        <sz val="11"/>
        <color theme="1"/>
        <rFont val="Calibri"/>
        <family val="2"/>
        <scheme val="minor"/>
      </rPr>
      <t xml:space="preserve"> au moins 3 professions paramédicales différentes)</t>
    </r>
  </si>
  <si>
    <t>Dont nombre de médecins</t>
  </si>
  <si>
    <t>Nombre de points disponibles</t>
  </si>
  <si>
    <t>Votre MSP remplit-elle le critère ?</t>
  </si>
  <si>
    <t>choix</t>
  </si>
  <si>
    <t>Oui</t>
  </si>
  <si>
    <t>Non</t>
  </si>
  <si>
    <t>N/A</t>
  </si>
  <si>
    <t>Nombre de patients de votre MSP</t>
  </si>
  <si>
    <t>Nombre d'associés dans la structure</t>
  </si>
  <si>
    <t>Merci de remplir la liste d'identification des associés</t>
  </si>
  <si>
    <t>Sommaire</t>
  </si>
  <si>
    <t>Contrôle :</t>
  </si>
  <si>
    <t>Rappel des options fiscales et comptables de la SISA :</t>
  </si>
  <si>
    <t>Objectif du contrôle :</t>
  </si>
  <si>
    <t>Total</t>
  </si>
  <si>
    <t>Commentaires</t>
  </si>
  <si>
    <t>Résultat fiscal SISA</t>
  </si>
  <si>
    <t>Résultat comptable avant Impôt</t>
  </si>
  <si>
    <t>Réintégrations fiscales</t>
  </si>
  <si>
    <t>Montant</t>
  </si>
  <si>
    <t>Amortissements non déductibles</t>
  </si>
  <si>
    <t>Dépenses somptuaires</t>
  </si>
  <si>
    <t>TVS</t>
  </si>
  <si>
    <t>Amendes et pénalités</t>
  </si>
  <si>
    <t>Loyers (crédit bail) non déductibles</t>
  </si>
  <si>
    <t>Provision pour litige fiscal</t>
  </si>
  <si>
    <t>Autres</t>
  </si>
  <si>
    <t xml:space="preserve">Sous-total réintégrations </t>
  </si>
  <si>
    <t>Déduction fiscale</t>
  </si>
  <si>
    <t>Sous-total déductions</t>
  </si>
  <si>
    <t>CICE</t>
  </si>
  <si>
    <t>Crédit d'impôt apprentissage</t>
  </si>
  <si>
    <t>Autres crédits d'impôts (à détailler)</t>
  </si>
  <si>
    <t>Résultat fiscal</t>
  </si>
  <si>
    <t>Taux réduit (15%)</t>
  </si>
  <si>
    <t>Taux intermédiaire (28%)</t>
  </si>
  <si>
    <t>Taux normal (33,33%)</t>
  </si>
  <si>
    <t>Total IS de l'exercice</t>
  </si>
  <si>
    <t>Résultat net comptable</t>
  </si>
  <si>
    <t>mois</t>
  </si>
  <si>
    <t>Durée de l'exercice</t>
  </si>
  <si>
    <t>lim bas</t>
  </si>
  <si>
    <t>lim haut</t>
  </si>
  <si>
    <t>assiette</t>
  </si>
  <si>
    <t>is</t>
  </si>
  <si>
    <t>Impôts sur le revenu</t>
  </si>
  <si>
    <t>Nombre de parts en capital</t>
  </si>
  <si>
    <t>Partage du résultat entre associés</t>
  </si>
  <si>
    <t>Nom de l'associé</t>
  </si>
  <si>
    <t>% de détention</t>
  </si>
  <si>
    <t>Q/P de résultat affecté</t>
  </si>
  <si>
    <t>bas</t>
  </si>
  <si>
    <t>lim</t>
  </si>
  <si>
    <t>pts tranche</t>
  </si>
  <si>
    <t>Rémunération des membres de la structure</t>
  </si>
  <si>
    <t>Indicateur</t>
  </si>
  <si>
    <t>Nombre de points obtenus par la MSP</t>
  </si>
  <si>
    <t>2 - Travail en équipe</t>
  </si>
  <si>
    <t>Clé de répartition</t>
  </si>
  <si>
    <t>cle_de_repartition</t>
  </si>
  <si>
    <t>Libre</t>
  </si>
  <si>
    <t>Prorata du nombre de parts</t>
  </si>
  <si>
    <t>Egalitaire</t>
  </si>
  <si>
    <t>EQUIPE PLURIPROFESSIONNELLE</t>
  </si>
  <si>
    <t>A</t>
  </si>
  <si>
    <t>Points affectés</t>
  </si>
  <si>
    <t>Cumul</t>
  </si>
  <si>
    <t>Cellules à compléter</t>
  </si>
  <si>
    <t>En cas de choix de clé de répartion "Libre", merci de compléter le tableau plus bas</t>
  </si>
  <si>
    <t>EQUIPE PLURIPROFESSIONNELLE - CLES DE REPARTITIONS LIBRES</t>
  </si>
  <si>
    <t>Membres</t>
  </si>
  <si>
    <t>Revenus des vacations</t>
  </si>
  <si>
    <t>Quote part de résultat de la SISA</t>
  </si>
  <si>
    <t>Distribution de dividendes ?</t>
  </si>
  <si>
    <t>Montant total mis en distribution</t>
  </si>
  <si>
    <t>Réserves distribuables</t>
  </si>
  <si>
    <t>Dividende brut versé</t>
  </si>
  <si>
    <t>Revenus bruts tirés de la SISA</t>
  </si>
  <si>
    <t>Valeur du point théorique</t>
  </si>
  <si>
    <t>Tranche Marginale d'imposition</t>
  </si>
  <si>
    <t>Prélèvement Forfaitaire Unique (30%)</t>
  </si>
  <si>
    <t>CSG/RDS (17,2%) sur dividendes</t>
  </si>
  <si>
    <t>IRPP sur dividendes</t>
  </si>
  <si>
    <t>IRPP (hors dividendes)</t>
  </si>
  <si>
    <t>Total de la dotation</t>
  </si>
  <si>
    <t>Valeur du point ajusté (max)</t>
  </si>
  <si>
    <t>Valeur du point retenu</t>
  </si>
  <si>
    <t>Points à traiter</t>
  </si>
  <si>
    <t>Périodicité</t>
  </si>
  <si>
    <t>TVA applicable ?</t>
  </si>
  <si>
    <t>Taux de TVA applicable</t>
  </si>
  <si>
    <t>Charges locatives</t>
  </si>
  <si>
    <t>Loyers</t>
  </si>
  <si>
    <t>Honoraires comptables</t>
  </si>
  <si>
    <t>Honoraires social</t>
  </si>
  <si>
    <t>Honoraires juridiques</t>
  </si>
  <si>
    <t>Honoraires divers</t>
  </si>
  <si>
    <t>Matériels et petits équipements</t>
  </si>
  <si>
    <t>Maintenance informatique</t>
  </si>
  <si>
    <t>Maintenances diverses</t>
  </si>
  <si>
    <t>Assurances</t>
  </si>
  <si>
    <t>Eau et énergie</t>
  </si>
  <si>
    <t>oui_non</t>
  </si>
  <si>
    <t>taux_tva</t>
  </si>
  <si>
    <t>periodicite</t>
  </si>
  <si>
    <t>Mensuelle</t>
  </si>
  <si>
    <t>Trimestrielle</t>
  </si>
  <si>
    <t>Annuelle</t>
  </si>
  <si>
    <t>Budget TTC Annuel</t>
  </si>
  <si>
    <t>coeff multiplicateur</t>
  </si>
  <si>
    <t>Budget HT prévisionnel / période</t>
  </si>
  <si>
    <t>Frais de fonctionnement prévisionnels</t>
  </si>
  <si>
    <t xml:space="preserve">Des recrutements sont-ils prévus par la structure ? </t>
  </si>
  <si>
    <t>Rémunération mensuelle brute</t>
  </si>
  <si>
    <t>Taux de charges sociales appliqué</t>
  </si>
  <si>
    <t>Rémunération annuelle chargée</t>
  </si>
  <si>
    <t>Frais de personnel prévisionnel</t>
  </si>
  <si>
    <t>Désignation</t>
  </si>
  <si>
    <t>Nature de charge</t>
  </si>
  <si>
    <t>Budget annuel</t>
  </si>
  <si>
    <t>Impôts et taxes diverses</t>
  </si>
  <si>
    <t>Estimez votre nombre de patients ci-dessous</t>
  </si>
  <si>
    <t>test</t>
  </si>
  <si>
    <t>CFE</t>
  </si>
  <si>
    <t>Investissements</t>
  </si>
  <si>
    <t>Montant TTC</t>
  </si>
  <si>
    <t>Amortissement annuel</t>
  </si>
  <si>
    <t>Durée d'amortissements (année)</t>
  </si>
  <si>
    <t>Résultat estimé (avant honoraires)</t>
  </si>
  <si>
    <t>Budget synthétique prévisionnel</t>
  </si>
  <si>
    <t xml:space="preserve">Dotation NMR </t>
  </si>
  <si>
    <t>Frais généraux et de fonctionnement</t>
  </si>
  <si>
    <t>Frais de personnel et charges sociales</t>
  </si>
  <si>
    <t>NMR disponibles pour les membres de l'équipe</t>
  </si>
  <si>
    <t>Les investisssements sont directements intégrés pour leur valeur d'acquisition, étant intégralement couverts par la dotation NMR traitée comptablement et fiscalement comme une subvention d'exploitation</t>
  </si>
  <si>
    <t>Fiche d'identification</t>
  </si>
  <si>
    <t>Liste des professionnels</t>
  </si>
  <si>
    <t>Calcul de la dotation NMR Prévisionnelle</t>
  </si>
  <si>
    <t>Synthèse prévisionnelle</t>
  </si>
  <si>
    <t>Rémunération des professionnels</t>
  </si>
  <si>
    <t>Résultat fiscal prévisionnel</t>
  </si>
  <si>
    <t>Impact fiscal et social prévisionnel pour les associés</t>
  </si>
  <si>
    <t>Impôts et taxes diverses (hors impôt sur le revenu et les bénéfices)</t>
  </si>
  <si>
    <t>Taux marginal de charges sociales</t>
  </si>
  <si>
    <t>Charges sociales (estimation marginale)</t>
  </si>
  <si>
    <t>parc informatique</t>
  </si>
  <si>
    <t>licence du système d'info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</si>
</sst>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 [$€-40C]_-;\-* #,##0\ [$€-40C]_-;_-* &quot;-&quot;??\ [$€-40C]_-;_-@_-"/>
    <numFmt numFmtId="165" formatCode="_-* #,##0\ &quot;€&quot;_-;\-* #,##0\ &quot;€&quot;_-;_-* &quot;-&quot;??\ &quot;€&quot;_-;_-@_-"/>
    <numFmt numFmtId="166" formatCode="_-* #,##0\ _€_-;\-* #,##0\ _€_-;_-* &quot;-&quot;??\ _€_-;_-@_-"/>
  </numFmts>
  <fonts count="40">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indexed="12"/>
      <name val="KPMG Logo"/>
    </font>
    <font>
      <sz val="10"/>
      <name val="Univers 45 Light"/>
    </font>
    <font>
      <b/>
      <sz val="10"/>
      <color indexed="10"/>
      <name val="Univers 45 Light"/>
    </font>
    <font>
      <b/>
      <sz val="10"/>
      <name val="Univers 45 Light"/>
    </font>
    <font>
      <b/>
      <sz val="11"/>
      <color rgb="FFFF0000"/>
      <name val="Calibri"/>
      <family val="2"/>
      <scheme val="minor"/>
    </font>
    <font>
      <sz val="11"/>
      <name val="Calibri"/>
      <family val="2"/>
      <scheme val="minor"/>
    </font>
    <font>
      <i/>
      <sz val="11"/>
      <color theme="1"/>
      <name val="Calibri"/>
      <family val="2"/>
      <scheme val="minor"/>
    </font>
    <font>
      <b/>
      <sz val="18"/>
      <name val="Arial"/>
      <family val="2"/>
    </font>
    <font>
      <b/>
      <sz val="12"/>
      <name val="Arial"/>
      <family val="2"/>
    </font>
    <font>
      <b/>
      <sz val="8"/>
      <name val="Arial"/>
      <family val="2"/>
    </font>
    <font>
      <sz val="8"/>
      <name val="Arial"/>
      <family val="2"/>
    </font>
    <font>
      <b/>
      <sz val="8"/>
      <color indexed="8"/>
      <name val="Arial"/>
      <family val="2"/>
    </font>
    <font>
      <u/>
      <sz val="11"/>
      <color theme="10"/>
      <name val="Calibri"/>
      <family val="2"/>
      <scheme val="minor"/>
    </font>
    <font>
      <sz val="9"/>
      <color indexed="81"/>
      <name val="Tahoma"/>
      <family val="2"/>
    </font>
    <font>
      <b/>
      <sz val="9"/>
      <color indexed="81"/>
      <name val="Tahoma"/>
      <family val="2"/>
    </font>
    <font>
      <b/>
      <sz val="18"/>
      <color theme="1"/>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b/>
      <i/>
      <sz val="11"/>
      <color theme="1"/>
      <name val="Calibri"/>
      <family val="2"/>
      <scheme val="minor"/>
    </font>
    <font>
      <sz val="12"/>
      <color theme="1"/>
      <name val="Calibri"/>
      <family val="2"/>
      <scheme val="minor"/>
    </font>
    <font>
      <b/>
      <u/>
      <sz val="11"/>
      <color theme="1"/>
      <name val="Calibri"/>
      <family val="2"/>
      <scheme val="minor"/>
    </font>
    <font>
      <sz val="10"/>
      <name val="Arial"/>
      <family val="2"/>
    </font>
    <font>
      <b/>
      <u/>
      <sz val="10"/>
      <name val="Univers 45 Light"/>
    </font>
    <font>
      <sz val="8"/>
      <name val="Univers 45 Light"/>
    </font>
    <font>
      <b/>
      <sz val="8"/>
      <name val="Univers 45 Light"/>
    </font>
    <font>
      <sz val="11"/>
      <color rgb="FFFF0000"/>
      <name val="Calibri"/>
      <family val="2"/>
      <scheme val="minor"/>
    </font>
    <font>
      <i/>
      <u/>
      <sz val="8"/>
      <color theme="10"/>
      <name val="Calibri"/>
      <family val="2"/>
      <scheme val="minor"/>
    </font>
    <font>
      <b/>
      <u val="singleAccounting"/>
      <sz val="10"/>
      <name val="Univers 45 Light"/>
    </font>
    <font>
      <b/>
      <sz val="11"/>
      <name val="Calibri"/>
      <family val="2"/>
      <scheme val="minor"/>
    </font>
    <font>
      <sz val="8"/>
      <color theme="0"/>
      <name val="Univers 45 Light"/>
    </font>
    <font>
      <b/>
      <sz val="12"/>
      <color theme="0"/>
      <name val="Calibri"/>
      <family val="2"/>
      <scheme val="minor"/>
    </font>
    <font>
      <b/>
      <sz val="12"/>
      <name val="Calibri"/>
      <family val="2"/>
      <scheme val="minor"/>
    </font>
    <font>
      <b/>
      <sz val="10"/>
      <color rgb="FFFF0000"/>
      <name val="Calibri"/>
      <family val="2"/>
      <scheme val="minor"/>
    </font>
    <font>
      <i/>
      <sz val="11"/>
      <color theme="0"/>
      <name val="Calibri"/>
      <family val="2"/>
      <scheme val="minor"/>
    </font>
    <font>
      <b/>
      <i/>
      <sz val="11"/>
      <name val="Calibri"/>
      <family val="2"/>
      <scheme val="minor"/>
    </font>
  </fonts>
  <fills count="16">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8" tint="0.59999389629810485"/>
        <bgColor indexed="64"/>
      </patternFill>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hair">
        <color auto="1"/>
      </bottom>
      <diagonal/>
    </border>
    <border>
      <left style="medium">
        <color auto="1"/>
      </left>
      <right style="medium">
        <color auto="1"/>
      </right>
      <top style="medium">
        <color auto="1"/>
      </top>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hair">
        <color auto="1"/>
      </top>
      <bottom/>
      <diagonal/>
    </border>
    <border>
      <left/>
      <right style="medium">
        <color auto="1"/>
      </right>
      <top style="hair">
        <color auto="1"/>
      </top>
      <bottom/>
      <diagonal/>
    </border>
    <border>
      <left style="medium">
        <color auto="1"/>
      </left>
      <right style="medium">
        <color auto="1"/>
      </right>
      <top style="hair">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style="double">
        <color auto="1"/>
      </right>
      <top style="thin">
        <color auto="1"/>
      </top>
      <bottom style="thin">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right style="medium">
        <color auto="1"/>
      </right>
      <top style="hair">
        <color auto="1"/>
      </top>
      <bottom style="thin">
        <color auto="1"/>
      </bottom>
      <diagonal/>
    </border>
    <border>
      <left/>
      <right style="medium">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medium">
        <color auto="1"/>
      </right>
      <top/>
      <bottom style="thin">
        <color auto="1"/>
      </bottom>
      <diagonal/>
    </border>
    <border>
      <left style="medium">
        <color auto="1"/>
      </left>
      <right/>
      <top style="hair">
        <color auto="1"/>
      </top>
      <bottom style="thin">
        <color auto="1"/>
      </bottom>
      <diagonal/>
    </border>
    <border>
      <left style="medium">
        <color auto="1"/>
      </left>
      <right style="medium">
        <color auto="1"/>
      </right>
      <top style="thin">
        <color indexed="64"/>
      </top>
      <bottom style="hair">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hair">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ck">
        <color auto="1"/>
      </bottom>
      <diagonal/>
    </border>
    <border>
      <left style="thin">
        <color auto="1"/>
      </left>
      <right/>
      <top/>
      <bottom/>
      <diagonal/>
    </border>
    <border>
      <left/>
      <right style="thin">
        <color auto="1"/>
      </right>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style="medium">
        <color auto="1"/>
      </left>
      <right style="medium">
        <color auto="1"/>
      </right>
      <top style="medium">
        <color auto="1"/>
      </top>
      <bottom style="hair">
        <color auto="1"/>
      </bottom>
      <diagonal/>
    </border>
    <border>
      <left/>
      <right style="medium">
        <color indexed="64"/>
      </right>
      <top style="hair">
        <color auto="1"/>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26" fillId="0" borderId="0"/>
    <xf numFmtId="9" fontId="1" fillId="0" borderId="0" applyFont="0" applyFill="0" applyBorder="0" applyAlignment="0" applyProtection="0"/>
  </cellStyleXfs>
  <cellXfs count="409">
    <xf numFmtId="0" fontId="0" fillId="0" borderId="0" xfId="0"/>
    <xf numFmtId="0" fontId="4" fillId="0" borderId="0" xfId="0" applyFont="1" applyProtection="1"/>
    <xf numFmtId="0" fontId="5" fillId="0" borderId="0" xfId="0" applyFont="1" applyProtection="1"/>
    <xf numFmtId="43" fontId="5" fillId="0" borderId="0" xfId="1" applyFont="1" applyProtection="1"/>
    <xf numFmtId="43" fontId="5" fillId="0" borderId="0" xfId="1" applyFont="1" applyBorder="1" applyProtection="1"/>
    <xf numFmtId="43" fontId="7" fillId="0" borderId="0" xfId="1" applyFont="1" applyBorder="1" applyAlignment="1" applyProtection="1">
      <alignment horizontal="left"/>
      <protection locked="0"/>
    </xf>
    <xf numFmtId="43" fontId="5" fillId="0" borderId="0" xfId="1" applyFont="1" applyBorder="1" applyAlignment="1" applyProtection="1">
      <alignment horizontal="right"/>
    </xf>
    <xf numFmtId="43" fontId="5" fillId="0" borderId="0" xfId="1" applyFont="1" applyAlignment="1" applyProtection="1">
      <alignment horizontal="left"/>
      <protection locked="0"/>
    </xf>
    <xf numFmtId="14" fontId="7" fillId="0" borderId="0" xfId="1" applyNumberFormat="1" applyFont="1" applyBorder="1" applyAlignment="1" applyProtection="1">
      <alignment horizontal="left"/>
      <protection locked="0"/>
    </xf>
    <xf numFmtId="14" fontId="5" fillId="0" borderId="0" xfId="1" applyNumberFormat="1" applyFont="1" applyAlignment="1" applyProtection="1">
      <alignment horizontal="left"/>
      <protection locked="0"/>
    </xf>
    <xf numFmtId="14" fontId="5" fillId="0" borderId="0" xfId="1" applyNumberFormat="1" applyFont="1" applyBorder="1" applyAlignment="1" applyProtection="1">
      <alignment horizontal="left"/>
    </xf>
    <xf numFmtId="43" fontId="5" fillId="0" borderId="0" xfId="1" applyFont="1" applyBorder="1" applyAlignment="1" applyProtection="1">
      <alignment horizontal="left"/>
    </xf>
    <xf numFmtId="43" fontId="6" fillId="0" borderId="0" xfId="1" applyFont="1" applyBorder="1" applyAlignment="1" applyProtection="1">
      <alignment horizontal="left"/>
    </xf>
    <xf numFmtId="43" fontId="5" fillId="0" borderId="3" xfId="1" applyFont="1" applyBorder="1" applyProtection="1"/>
    <xf numFmtId="0" fontId="5" fillId="0" borderId="0" xfId="0" applyFont="1" applyBorder="1" applyAlignment="1" applyProtection="1">
      <alignment horizontal="center"/>
    </xf>
    <xf numFmtId="43" fontId="6" fillId="0" borderId="0" xfId="1" applyFont="1" applyBorder="1" applyAlignment="1" applyProtection="1">
      <alignment horizontal="center" vertical="center"/>
    </xf>
    <xf numFmtId="0" fontId="6" fillId="0" borderId="0" xfId="1" applyNumberFormat="1" applyFont="1" applyBorder="1" applyAlignment="1" applyProtection="1">
      <alignment horizontal="center" vertical="center"/>
    </xf>
    <xf numFmtId="0" fontId="2" fillId="0" borderId="0" xfId="0" applyFont="1"/>
    <xf numFmtId="0" fontId="0" fillId="3" borderId="2" xfId="0" applyFill="1" applyBorder="1"/>
    <xf numFmtId="0" fontId="0" fillId="0" borderId="0" xfId="0" applyBorder="1"/>
    <xf numFmtId="0" fontId="0" fillId="0" borderId="0" xfId="0" applyFill="1" applyBorder="1"/>
    <xf numFmtId="43" fontId="5" fillId="0" borderId="0" xfId="1" applyFont="1" applyFill="1" applyBorder="1" applyProtection="1"/>
    <xf numFmtId="43" fontId="6" fillId="0" borderId="0" xfId="1" applyFont="1" applyFill="1" applyBorder="1" applyAlignment="1" applyProtection="1">
      <alignment horizontal="center" vertical="center"/>
    </xf>
    <xf numFmtId="0" fontId="6" fillId="0" borderId="0" xfId="1" applyNumberFormat="1" applyFont="1" applyFill="1" applyBorder="1" applyAlignment="1" applyProtection="1">
      <alignment horizontal="center" vertical="center"/>
    </xf>
    <xf numFmtId="43" fontId="5" fillId="0" borderId="0" xfId="1" applyFont="1" applyFill="1" applyBorder="1" applyAlignment="1" applyProtection="1">
      <alignment horizontal="right"/>
    </xf>
    <xf numFmtId="43" fontId="5" fillId="0" borderId="0" xfId="1" applyFont="1" applyFill="1" applyBorder="1" applyAlignment="1" applyProtection="1">
      <alignment horizontal="left"/>
      <protection locked="0"/>
    </xf>
    <xf numFmtId="14" fontId="5" fillId="0" borderId="0" xfId="1" applyNumberFormat="1" applyFont="1" applyFill="1" applyBorder="1" applyAlignment="1" applyProtection="1">
      <alignment horizontal="left"/>
      <protection locked="0"/>
    </xf>
    <xf numFmtId="14" fontId="5" fillId="0" borderId="0" xfId="1" applyNumberFormat="1" applyFont="1" applyFill="1" applyBorder="1" applyAlignment="1" applyProtection="1">
      <alignment horizontal="left"/>
    </xf>
    <xf numFmtId="43" fontId="5" fillId="0" borderId="0" xfId="1" applyFont="1" applyFill="1" applyBorder="1" applyAlignment="1" applyProtection="1">
      <alignment horizontal="left"/>
    </xf>
    <xf numFmtId="43" fontId="6" fillId="0" borderId="0" xfId="1" applyFont="1" applyFill="1" applyBorder="1" applyAlignment="1" applyProtection="1">
      <alignment horizontal="left"/>
    </xf>
    <xf numFmtId="43" fontId="7" fillId="0" borderId="0" xfId="1" applyFont="1" applyFill="1" applyBorder="1" applyProtection="1"/>
    <xf numFmtId="0" fontId="8" fillId="0" borderId="0" xfId="0" applyFont="1"/>
    <xf numFmtId="44" fontId="9" fillId="3" borderId="2" xfId="2" applyNumberFormat="1" applyFont="1" applyFill="1" applyBorder="1"/>
    <xf numFmtId="0" fontId="10" fillId="0" borderId="0" xfId="0" applyFont="1"/>
    <xf numFmtId="0" fontId="13" fillId="3" borderId="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4" fillId="4" borderId="4" xfId="0" applyFont="1" applyFill="1" applyBorder="1" applyAlignment="1">
      <alignment vertical="center" wrapText="1"/>
    </xf>
    <xf numFmtId="0" fontId="14" fillId="4" borderId="2" xfId="0" applyFont="1" applyFill="1" applyBorder="1" applyAlignment="1">
      <alignment vertical="center" wrapText="1"/>
    </xf>
    <xf numFmtId="0" fontId="14" fillId="4" borderId="4" xfId="0" applyFont="1" applyFill="1" applyBorder="1" applyAlignment="1">
      <alignment horizontal="center" vertical="center" wrapText="1"/>
    </xf>
    <xf numFmtId="0" fontId="3" fillId="0" borderId="0" xfId="0" applyFont="1"/>
    <xf numFmtId="0" fontId="16" fillId="0" borderId="0" xfId="3"/>
    <xf numFmtId="0" fontId="19" fillId="0" borderId="0" xfId="0" applyFont="1" applyAlignment="1">
      <alignment horizontal="center" vertical="center"/>
    </xf>
    <xf numFmtId="0" fontId="19" fillId="0" borderId="0" xfId="0" applyFont="1" applyAlignment="1">
      <alignment horizontal="center"/>
    </xf>
    <xf numFmtId="0" fontId="20" fillId="7"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1" fillId="0" borderId="0" xfId="0" applyFont="1"/>
    <xf numFmtId="0" fontId="22" fillId="7" borderId="7" xfId="0" applyFont="1" applyFill="1" applyBorder="1" applyAlignment="1">
      <alignment horizontal="center" vertical="center"/>
    </xf>
    <xf numFmtId="0" fontId="22" fillId="7" borderId="7"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2" fillId="0" borderId="0" xfId="0" applyFont="1" applyAlignment="1">
      <alignment horizontal="center" vertical="center" wrapText="1"/>
    </xf>
    <xf numFmtId="0" fontId="2" fillId="8" borderId="8"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0" fillId="9" borderId="11" xfId="0" applyFont="1" applyFill="1" applyBorder="1"/>
    <xf numFmtId="0" fontId="0" fillId="9" borderId="11" xfId="0" applyFill="1" applyBorder="1"/>
    <xf numFmtId="0" fontId="0" fillId="0" borderId="13" xfId="0" applyBorder="1" applyAlignment="1">
      <alignment horizontal="left" vertical="center" wrapText="1"/>
    </xf>
    <xf numFmtId="0" fontId="0" fillId="0" borderId="14" xfId="0" applyBorder="1" applyAlignment="1">
      <alignment horizontal="left" vertical="center" wrapText="1"/>
    </xf>
    <xf numFmtId="0" fontId="24" fillId="0" borderId="15" xfId="0" applyFont="1" applyBorder="1" applyAlignment="1">
      <alignment horizontal="center" vertical="center"/>
    </xf>
    <xf numFmtId="0" fontId="20" fillId="9" borderId="15" xfId="0" applyFont="1" applyFill="1" applyBorder="1" applyAlignment="1">
      <alignment horizontal="center" vertical="center"/>
    </xf>
    <xf numFmtId="0" fontId="0" fillId="0" borderId="18" xfId="0" applyBorder="1" applyAlignment="1">
      <alignment vertical="center"/>
    </xf>
    <xf numFmtId="0" fontId="0" fillId="0" borderId="19" xfId="0" applyBorder="1" applyAlignment="1">
      <alignment horizontal="left" vertical="center" wrapText="1"/>
    </xf>
    <xf numFmtId="0" fontId="24" fillId="0" borderId="20" xfId="0" applyFont="1" applyBorder="1" applyAlignment="1">
      <alignment horizontal="center" vertical="center"/>
    </xf>
    <xf numFmtId="0" fontId="20" fillId="9" borderId="21" xfId="0" applyFont="1" applyFill="1" applyBorder="1"/>
    <xf numFmtId="0" fontId="0" fillId="9" borderId="5" xfId="0" applyFill="1" applyBorder="1"/>
    <xf numFmtId="0" fontId="24" fillId="9" borderId="22" xfId="0" applyFont="1" applyFill="1" applyBorder="1" applyAlignment="1">
      <alignment horizontal="center"/>
    </xf>
    <xf numFmtId="0" fontId="20" fillId="9" borderId="22" xfId="0" applyFont="1" applyFill="1" applyBorder="1" applyAlignment="1">
      <alignment horizontal="center"/>
    </xf>
    <xf numFmtId="0" fontId="20" fillId="0" borderId="0" xfId="0" applyFont="1" applyFill="1" applyBorder="1"/>
    <xf numFmtId="0" fontId="24" fillId="0" borderId="0" xfId="0" applyFont="1" applyFill="1" applyBorder="1" applyAlignment="1">
      <alignment horizontal="center"/>
    </xf>
    <xf numFmtId="0" fontId="20" fillId="0" borderId="0" xfId="0" applyFont="1" applyFill="1" applyBorder="1" applyAlignment="1">
      <alignment horizontal="center"/>
    </xf>
    <xf numFmtId="0" fontId="20" fillId="0" borderId="0" xfId="0" applyFont="1" applyFill="1" applyBorder="1" applyAlignment="1">
      <alignment horizontal="center" vertical="center" wrapText="1"/>
    </xf>
    <xf numFmtId="0" fontId="20" fillId="9" borderId="23" xfId="0" applyFont="1" applyFill="1" applyBorder="1"/>
    <xf numFmtId="0" fontId="0" fillId="9" borderId="24" xfId="0" applyFill="1" applyBorder="1"/>
    <xf numFmtId="0" fontId="0" fillId="0" borderId="25" xfId="0" applyBorder="1" applyAlignment="1">
      <alignment horizontal="left" vertical="center" wrapText="1"/>
    </xf>
    <xf numFmtId="0" fontId="0" fillId="0" borderId="26" xfId="0" applyBorder="1" applyAlignment="1">
      <alignment horizontal="left" vertical="center" wrapText="1"/>
    </xf>
    <xf numFmtId="0" fontId="24" fillId="0" borderId="14" xfId="0" applyFont="1" applyBorder="1" applyAlignment="1">
      <alignment horizontal="center" vertical="center"/>
    </xf>
    <xf numFmtId="0" fontId="0" fillId="0" borderId="0" xfId="0" applyFill="1"/>
    <xf numFmtId="0" fontId="20" fillId="9" borderId="21" xfId="0" applyFont="1" applyFill="1" applyBorder="1" applyAlignment="1">
      <alignment vertical="center"/>
    </xf>
    <xf numFmtId="0" fontId="0" fillId="9" borderId="22" xfId="0" applyFill="1" applyBorder="1"/>
    <xf numFmtId="0" fontId="24" fillId="9" borderId="27" xfId="0" applyFont="1" applyFill="1" applyBorder="1" applyAlignment="1">
      <alignment horizontal="center" vertical="center"/>
    </xf>
    <xf numFmtId="0" fontId="20" fillId="9" borderId="22" xfId="0" applyFont="1" applyFill="1" applyBorder="1" applyAlignment="1">
      <alignment horizontal="center" vertical="center"/>
    </xf>
    <xf numFmtId="0" fontId="20" fillId="8" borderId="10"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0" fillId="10" borderId="28" xfId="0" applyFont="1" applyFill="1" applyBorder="1"/>
    <xf numFmtId="0" fontId="0" fillId="10" borderId="29" xfId="0" applyFill="1" applyBorder="1"/>
    <xf numFmtId="0" fontId="0" fillId="10" borderId="11" xfId="0" applyFill="1" applyBorder="1"/>
    <xf numFmtId="0" fontId="0" fillId="0" borderId="30" xfId="0" quotePrefix="1" applyBorder="1" applyAlignment="1">
      <alignment horizontal="left" vertical="center" wrapText="1"/>
    </xf>
    <xf numFmtId="0" fontId="24" fillId="0" borderId="15" xfId="0" quotePrefix="1" applyFont="1" applyBorder="1" applyAlignment="1">
      <alignment horizontal="center" vertical="center"/>
    </xf>
    <xf numFmtId="0" fontId="0" fillId="0" borderId="31" xfId="0" quotePrefix="1" applyBorder="1" applyAlignment="1">
      <alignment horizontal="left" vertical="center" wrapText="1"/>
    </xf>
    <xf numFmtId="0" fontId="20" fillId="10" borderId="4" xfId="0" applyFont="1" applyFill="1" applyBorder="1"/>
    <xf numFmtId="0" fontId="0" fillId="10" borderId="5" xfId="0" applyFill="1" applyBorder="1"/>
    <xf numFmtId="0" fontId="24" fillId="10" borderId="22" xfId="0" applyFont="1" applyFill="1" applyBorder="1" applyAlignment="1">
      <alignment horizontal="center"/>
    </xf>
    <xf numFmtId="0" fontId="20" fillId="10" borderId="22" xfId="0" applyFont="1" applyFill="1" applyBorder="1" applyAlignment="1">
      <alignment horizontal="center"/>
    </xf>
    <xf numFmtId="0" fontId="22" fillId="8" borderId="10" xfId="0" applyFont="1" applyFill="1" applyBorder="1" applyAlignment="1">
      <alignment horizontal="center" vertical="center" wrapText="1"/>
    </xf>
    <xf numFmtId="0" fontId="20" fillId="9" borderId="12" xfId="0" applyFont="1" applyFill="1" applyBorder="1" applyAlignment="1">
      <alignment horizontal="center" vertical="center" textRotation="90" wrapText="1"/>
    </xf>
    <xf numFmtId="0" fontId="0" fillId="0" borderId="15" xfId="0" applyBorder="1" applyAlignment="1">
      <alignment horizontal="center" vertical="center"/>
    </xf>
    <xf numFmtId="0" fontId="0" fillId="10" borderId="22" xfId="0" applyFill="1" applyBorder="1"/>
    <xf numFmtId="0" fontId="0" fillId="10" borderId="22" xfId="0" applyFill="1" applyBorder="1" applyAlignment="1">
      <alignment horizontal="center"/>
    </xf>
    <xf numFmtId="0" fontId="0" fillId="0" borderId="0" xfId="0" applyAlignment="1">
      <alignment horizontal="left" vertical="center" wrapText="1"/>
    </xf>
    <xf numFmtId="164" fontId="0" fillId="0" borderId="0" xfId="0" applyNumberFormat="1"/>
    <xf numFmtId="165" fontId="22" fillId="8" borderId="7" xfId="2" applyNumberFormat="1" applyFont="1" applyFill="1" applyBorder="1" applyAlignment="1">
      <alignment horizontal="center" vertical="center" wrapText="1"/>
    </xf>
    <xf numFmtId="164" fontId="0" fillId="0" borderId="0" xfId="0" applyNumberFormat="1" applyFill="1"/>
    <xf numFmtId="0" fontId="24" fillId="0" borderId="13" xfId="0" applyNumberFormat="1" applyFont="1" applyBorder="1" applyAlignment="1">
      <alignment horizontal="center" vertical="center"/>
    </xf>
    <xf numFmtId="0" fontId="20" fillId="9" borderId="14" xfId="0" applyNumberFormat="1" applyFont="1" applyFill="1" applyBorder="1" applyAlignment="1">
      <alignment horizontal="center" vertical="center"/>
    </xf>
    <xf numFmtId="0" fontId="24" fillId="0" borderId="35" xfId="0" applyNumberFormat="1" applyFont="1" applyBorder="1" applyAlignment="1">
      <alignment horizontal="center" vertical="center"/>
    </xf>
    <xf numFmtId="0" fontId="0" fillId="9" borderId="25" xfId="0" applyFill="1" applyBorder="1"/>
    <xf numFmtId="0" fontId="0" fillId="9" borderId="26" xfId="0" applyFill="1" applyBorder="1"/>
    <xf numFmtId="0" fontId="24" fillId="9" borderId="34" xfId="0" applyFont="1" applyFill="1" applyBorder="1" applyAlignment="1">
      <alignment horizontal="center"/>
    </xf>
    <xf numFmtId="0" fontId="0" fillId="9" borderId="12" xfId="0" applyFill="1" applyBorder="1"/>
    <xf numFmtId="0" fontId="0" fillId="3" borderId="36" xfId="0" applyNumberFormat="1" applyFill="1" applyBorder="1"/>
    <xf numFmtId="0" fontId="0" fillId="3" borderId="15" xfId="0" applyNumberFormat="1" applyFill="1" applyBorder="1"/>
    <xf numFmtId="0" fontId="0" fillId="3" borderId="37" xfId="0" applyNumberFormat="1" applyFill="1" applyBorder="1"/>
    <xf numFmtId="0" fontId="24" fillId="3" borderId="22"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15" xfId="0" applyFont="1" applyFill="1" applyBorder="1" applyAlignment="1">
      <alignment horizontal="center" vertical="center"/>
    </xf>
    <xf numFmtId="0" fontId="24" fillId="0" borderId="38" xfId="0" quotePrefix="1" applyFont="1" applyBorder="1" applyAlignment="1">
      <alignment horizontal="center" vertical="center"/>
    </xf>
    <xf numFmtId="0" fontId="2" fillId="0" borderId="0" xfId="0" applyFont="1" applyAlignment="1">
      <alignment horizontal="left" vertical="center" wrapText="1"/>
    </xf>
    <xf numFmtId="164" fontId="2" fillId="0" borderId="0" xfId="0" applyNumberFormat="1" applyFont="1"/>
    <xf numFmtId="43" fontId="27" fillId="0" borderId="0" xfId="1" applyFont="1" applyProtection="1"/>
    <xf numFmtId="0" fontId="0" fillId="0" borderId="3" xfId="0" applyBorder="1"/>
    <xf numFmtId="0" fontId="0" fillId="0" borderId="0" xfId="0" quotePrefix="1"/>
    <xf numFmtId="44" fontId="0" fillId="3" borderId="2" xfId="2" applyFont="1" applyFill="1" applyBorder="1"/>
    <xf numFmtId="0" fontId="14" fillId="4" borderId="4"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4" fillId="4" borderId="2" xfId="0" applyFont="1" applyFill="1" applyBorder="1" applyAlignment="1">
      <alignment horizontal="center" vertical="center" wrapText="1"/>
    </xf>
    <xf numFmtId="44" fontId="0" fillId="0" borderId="0" xfId="2" applyFont="1" applyFill="1" applyBorder="1"/>
    <xf numFmtId="0" fontId="0" fillId="0" borderId="0" xfId="0" applyFill="1" applyBorder="1" applyAlignment="1">
      <alignment horizontal="right"/>
    </xf>
    <xf numFmtId="43" fontId="5" fillId="0" borderId="0" xfId="1" applyFont="1" applyFill="1" applyBorder="1" applyAlignment="1" applyProtection="1">
      <alignment horizontal="center" vertical="center" wrapText="1"/>
    </xf>
    <xf numFmtId="43" fontId="28" fillId="0" borderId="0" xfId="1" applyFont="1" applyFill="1" applyBorder="1" applyAlignment="1" applyProtection="1">
      <alignment horizontal="center" vertical="center" wrapText="1"/>
    </xf>
    <xf numFmtId="166" fontId="5" fillId="0" borderId="0" xfId="1" applyNumberFormat="1" applyFont="1" applyFill="1" applyBorder="1" applyProtection="1">
      <protection locked="0"/>
    </xf>
    <xf numFmtId="43" fontId="5" fillId="0" borderId="0" xfId="1" applyFont="1" applyFill="1" applyBorder="1" applyProtection="1">
      <protection locked="0"/>
    </xf>
    <xf numFmtId="49" fontId="7" fillId="0" borderId="0" xfId="1" applyNumberFormat="1" applyFont="1" applyFill="1" applyBorder="1" applyAlignment="1" applyProtection="1">
      <alignment horizontal="center"/>
    </xf>
    <xf numFmtId="0" fontId="0" fillId="0" borderId="43" xfId="0" applyFill="1" applyBorder="1"/>
    <xf numFmtId="0" fontId="0" fillId="0" borderId="44" xfId="0" applyFill="1" applyBorder="1"/>
    <xf numFmtId="0" fontId="2" fillId="0" borderId="0" xfId="0" applyFont="1" applyFill="1" applyBorder="1"/>
    <xf numFmtId="0" fontId="0" fillId="0" borderId="0" xfId="0" applyFill="1" applyBorder="1" applyAlignment="1">
      <alignment horizontal="center"/>
    </xf>
    <xf numFmtId="44" fontId="0" fillId="0" borderId="0" xfId="0" applyNumberFormat="1"/>
    <xf numFmtId="0" fontId="30" fillId="0" borderId="0" xfId="0" applyFont="1"/>
    <xf numFmtId="0" fontId="0" fillId="3" borderId="0" xfId="0" applyFill="1" applyBorder="1"/>
    <xf numFmtId="43" fontId="27" fillId="0" borderId="0" xfId="1" applyFont="1" applyFill="1" applyBorder="1" applyProtection="1"/>
    <xf numFmtId="0" fontId="31" fillId="0" borderId="0" xfId="3" applyFont="1" applyFill="1" applyBorder="1"/>
    <xf numFmtId="0" fontId="8" fillId="0" borderId="0" xfId="0" applyFont="1" applyFill="1" applyBorder="1"/>
    <xf numFmtId="0" fontId="31" fillId="0" borderId="0" xfId="3" quotePrefix="1" applyFont="1" applyFill="1" applyBorder="1"/>
    <xf numFmtId="44" fontId="28" fillId="0" borderId="0" xfId="2" applyFont="1" applyFill="1" applyBorder="1" applyProtection="1">
      <protection locked="0"/>
    </xf>
    <xf numFmtId="44" fontId="28" fillId="0" borderId="0" xfId="2" applyFont="1" applyFill="1" applyBorder="1" applyProtection="1"/>
    <xf numFmtId="44" fontId="28" fillId="0" borderId="0" xfId="2" applyFont="1" applyFill="1" applyBorder="1" applyAlignment="1" applyProtection="1">
      <alignment horizontal="center"/>
    </xf>
    <xf numFmtId="44" fontId="5" fillId="0" borderId="0" xfId="2" applyFont="1" applyFill="1" applyBorder="1" applyProtection="1">
      <protection locked="0"/>
    </xf>
    <xf numFmtId="44" fontId="29" fillId="0" borderId="0" xfId="2" applyFont="1" applyFill="1" applyBorder="1" applyProtection="1"/>
    <xf numFmtId="0" fontId="25" fillId="0" borderId="0" xfId="0" applyFont="1" applyAlignment="1">
      <alignment horizontal="right"/>
    </xf>
    <xf numFmtId="0" fontId="25" fillId="0" borderId="0" xfId="0" applyFont="1" applyFill="1" applyBorder="1"/>
    <xf numFmtId="0" fontId="25" fillId="0" borderId="0" xfId="0" applyFont="1" applyFill="1" applyBorder="1" applyAlignment="1">
      <alignment horizontal="right"/>
    </xf>
    <xf numFmtId="44" fontId="1" fillId="0" borderId="0" xfId="2" applyFont="1" applyFill="1" applyBorder="1" applyAlignment="1">
      <alignment horizontal="center"/>
    </xf>
    <xf numFmtId="44" fontId="0" fillId="0" borderId="42" xfId="2" applyFont="1" applyFill="1" applyBorder="1"/>
    <xf numFmtId="44" fontId="0" fillId="0" borderId="43" xfId="2" applyFont="1" applyFill="1" applyBorder="1"/>
    <xf numFmtId="44" fontId="2" fillId="0" borderId="43" xfId="2" applyFont="1" applyFill="1" applyBorder="1"/>
    <xf numFmtId="44" fontId="0" fillId="0" borderId="44" xfId="2" applyFont="1" applyFill="1" applyBorder="1"/>
    <xf numFmtId="44" fontId="9" fillId="5" borderId="2" xfId="0" applyNumberFormat="1" applyFont="1" applyFill="1" applyBorder="1"/>
    <xf numFmtId="44" fontId="0" fillId="10" borderId="2" xfId="0" applyNumberFormat="1" applyFill="1" applyBorder="1"/>
    <xf numFmtId="43" fontId="28" fillId="0" borderId="0" xfId="1" applyFont="1" applyFill="1" applyBorder="1" applyAlignment="1" applyProtection="1"/>
    <xf numFmtId="166" fontId="5" fillId="0" borderId="45" xfId="1" applyNumberFormat="1" applyFont="1" applyFill="1" applyBorder="1" applyProtection="1">
      <protection locked="0"/>
    </xf>
    <xf numFmtId="43" fontId="5" fillId="0" borderId="45" xfId="1" applyFont="1" applyFill="1" applyBorder="1" applyProtection="1">
      <protection locked="0"/>
    </xf>
    <xf numFmtId="44" fontId="28" fillId="0" borderId="45" xfId="2" applyFont="1" applyFill="1" applyBorder="1" applyProtection="1">
      <protection locked="0"/>
    </xf>
    <xf numFmtId="43" fontId="28" fillId="0" borderId="45" xfId="1" applyFont="1" applyFill="1" applyBorder="1" applyAlignment="1" applyProtection="1"/>
    <xf numFmtId="44" fontId="28" fillId="0" borderId="45" xfId="2" applyFont="1" applyFill="1" applyBorder="1" applyProtection="1"/>
    <xf numFmtId="44" fontId="28" fillId="0" borderId="45" xfId="2" applyFont="1" applyFill="1" applyBorder="1" applyAlignment="1" applyProtection="1">
      <alignment horizontal="center"/>
    </xf>
    <xf numFmtId="44" fontId="5" fillId="0" borderId="45" xfId="2" applyFont="1" applyFill="1" applyBorder="1" applyProtection="1">
      <protection locked="0"/>
    </xf>
    <xf numFmtId="43" fontId="32" fillId="0" borderId="0" xfId="1" applyFont="1" applyFill="1" applyBorder="1" applyProtection="1">
      <protection locked="0"/>
    </xf>
    <xf numFmtId="43" fontId="5" fillId="0" borderId="0" xfId="1" applyFont="1" applyFill="1" applyBorder="1" applyAlignment="1" applyProtection="1">
      <alignment horizontal="right"/>
      <protection locked="0"/>
    </xf>
    <xf numFmtId="0" fontId="2" fillId="0" borderId="0" xfId="0" applyFont="1" applyFill="1" applyBorder="1" applyAlignment="1">
      <alignment horizontal="right"/>
    </xf>
    <xf numFmtId="49" fontId="7" fillId="0" borderId="0" xfId="1" applyNumberFormat="1" applyFont="1" applyFill="1" applyBorder="1" applyAlignment="1" applyProtection="1">
      <alignment horizontal="right"/>
    </xf>
    <xf numFmtId="44" fontId="28" fillId="0" borderId="1" xfId="2" applyFont="1" applyFill="1" applyBorder="1" applyProtection="1">
      <protection locked="0"/>
    </xf>
    <xf numFmtId="44" fontId="28" fillId="0" borderId="32" xfId="2" applyFont="1" applyFill="1" applyBorder="1" applyProtection="1">
      <protection locked="0"/>
    </xf>
    <xf numFmtId="44" fontId="28" fillId="0" borderId="33" xfId="2" applyFont="1" applyFill="1" applyBorder="1" applyProtection="1">
      <protection locked="0"/>
    </xf>
    <xf numFmtId="44" fontId="29" fillId="11" borderId="2" xfId="2" applyFont="1" applyFill="1" applyBorder="1" applyProtection="1"/>
    <xf numFmtId="44" fontId="2" fillId="10" borderId="2" xfId="2" applyFont="1" applyFill="1" applyBorder="1"/>
    <xf numFmtId="0" fontId="0" fillId="0" borderId="45" xfId="0" applyFill="1" applyBorder="1"/>
    <xf numFmtId="0" fontId="2" fillId="0" borderId="0" xfId="0" applyFont="1" applyFill="1" applyBorder="1" applyAlignment="1">
      <alignment horizontal="center"/>
    </xf>
    <xf numFmtId="0" fontId="2" fillId="0" borderId="41" xfId="0" applyFont="1" applyFill="1" applyBorder="1" applyAlignment="1">
      <alignment horizontal="center"/>
    </xf>
    <xf numFmtId="0" fontId="2" fillId="6" borderId="2" xfId="0" applyFont="1" applyFill="1" applyBorder="1" applyAlignment="1">
      <alignment horizontal="center"/>
    </xf>
    <xf numFmtId="0" fontId="0" fillId="0" borderId="42" xfId="0" applyBorder="1"/>
    <xf numFmtId="0" fontId="0" fillId="0" borderId="43" xfId="0" applyBorder="1"/>
    <xf numFmtId="0" fontId="0" fillId="0" borderId="44" xfId="0" applyBorder="1"/>
    <xf numFmtId="44" fontId="8" fillId="0" borderId="0" xfId="2" applyFont="1" applyFill="1" applyBorder="1"/>
    <xf numFmtId="0" fontId="0" fillId="0" borderId="42" xfId="0" applyBorder="1" applyAlignment="1">
      <alignment horizontal="center"/>
    </xf>
    <xf numFmtId="9" fontId="0" fillId="0" borderId="42" xfId="5" applyFont="1" applyBorder="1" applyAlignment="1">
      <alignment horizontal="center"/>
    </xf>
    <xf numFmtId="44" fontId="0" fillId="0" borderId="42" xfId="2" applyFont="1" applyBorder="1" applyAlignment="1">
      <alignment horizontal="center"/>
    </xf>
    <xf numFmtId="0" fontId="0" fillId="0" borderId="43" xfId="0" applyBorder="1" applyAlignment="1">
      <alignment horizontal="center"/>
    </xf>
    <xf numFmtId="9" fontId="0" fillId="0" borderId="43" xfId="5" applyFont="1" applyBorder="1" applyAlignment="1">
      <alignment horizontal="center"/>
    </xf>
    <xf numFmtId="44" fontId="0" fillId="0" borderId="43" xfId="2" applyFont="1" applyBorder="1" applyAlignment="1">
      <alignment horizontal="center"/>
    </xf>
    <xf numFmtId="0" fontId="0" fillId="0" borderId="44" xfId="0" applyBorder="1" applyAlignment="1">
      <alignment horizontal="center"/>
    </xf>
    <xf numFmtId="9" fontId="0" fillId="0" borderId="44" xfId="5" applyFont="1" applyBorder="1" applyAlignment="1">
      <alignment horizontal="center"/>
    </xf>
    <xf numFmtId="44" fontId="0" fillId="0" borderId="44" xfId="2" applyFont="1" applyBorder="1" applyAlignment="1">
      <alignment horizontal="center"/>
    </xf>
    <xf numFmtId="44" fontId="34" fillId="0" borderId="0" xfId="2" applyFont="1" applyFill="1" applyBorder="1" applyProtection="1">
      <protection locked="0"/>
    </xf>
    <xf numFmtId="44" fontId="34" fillId="0" borderId="0" xfId="2" applyFont="1" applyFill="1" applyBorder="1" applyProtection="1"/>
    <xf numFmtId="44" fontId="34" fillId="0" borderId="0" xfId="2" applyFont="1" applyFill="1" applyBorder="1" applyAlignment="1" applyProtection="1">
      <alignment horizontal="center"/>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xf>
    <xf numFmtId="0" fontId="2" fillId="0" borderId="0"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Fill="1" applyBorder="1"/>
    <xf numFmtId="0" fontId="1" fillId="0" borderId="0" xfId="0" applyFont="1"/>
    <xf numFmtId="4" fontId="9" fillId="0" borderId="0" xfId="1" applyNumberFormat="1" applyFont="1" applyFill="1" applyBorder="1" applyProtection="1">
      <protection locked="0"/>
    </xf>
    <xf numFmtId="4" fontId="9" fillId="0" borderId="0" xfId="1" applyNumberFormat="1" applyFont="1" applyFill="1" applyBorder="1" applyProtection="1"/>
    <xf numFmtId="3" fontId="9" fillId="0" borderId="0" xfId="0" applyNumberFormat="1" applyFont="1" applyFill="1" applyBorder="1" applyAlignment="1" applyProtection="1">
      <alignment horizontal="right"/>
      <protection locked="0"/>
    </xf>
    <xf numFmtId="43" fontId="9" fillId="0" borderId="0" xfId="0" applyNumberFormat="1" applyFont="1" applyFill="1" applyBorder="1" applyProtection="1">
      <protection locked="0"/>
    </xf>
    <xf numFmtId="3" fontId="9" fillId="0" borderId="0" xfId="0" applyNumberFormat="1" applyFont="1" applyFill="1" applyBorder="1" applyProtection="1">
      <protection locked="0"/>
    </xf>
    <xf numFmtId="4" fontId="33" fillId="0" borderId="0" xfId="1" applyNumberFormat="1" applyFont="1" applyFill="1" applyBorder="1" applyProtection="1"/>
    <xf numFmtId="0" fontId="1" fillId="0" borderId="0" xfId="0" applyNumberFormat="1" applyFont="1" applyFill="1" applyBorder="1" applyAlignment="1">
      <alignment horizontal="center"/>
    </xf>
    <xf numFmtId="0" fontId="1" fillId="0" borderId="47" xfId="0" applyFont="1" applyFill="1" applyBorder="1"/>
    <xf numFmtId="43" fontId="9" fillId="0" borderId="32" xfId="1" applyFont="1" applyFill="1" applyBorder="1" applyAlignment="1" applyProtection="1">
      <alignment horizontal="center"/>
    </xf>
    <xf numFmtId="0" fontId="1" fillId="0" borderId="32" xfId="0" applyNumberFormat="1" applyFont="1" applyFill="1" applyBorder="1" applyAlignment="1">
      <alignment horizontal="center"/>
    </xf>
    <xf numFmtId="0" fontId="1" fillId="0" borderId="32" xfId="0" applyFont="1" applyFill="1" applyBorder="1"/>
    <xf numFmtId="0" fontId="9" fillId="0" borderId="32" xfId="0" applyFont="1" applyFill="1" applyBorder="1" applyAlignment="1" applyProtection="1">
      <alignment horizontal="center"/>
    </xf>
    <xf numFmtId="0" fontId="9" fillId="0" borderId="32" xfId="0" applyNumberFormat="1" applyFont="1" applyFill="1" applyBorder="1" applyAlignment="1" applyProtection="1">
      <alignment horizontal="center"/>
    </xf>
    <xf numFmtId="0" fontId="9" fillId="0" borderId="32" xfId="0" applyFont="1" applyFill="1" applyBorder="1" applyAlignment="1" applyProtection="1">
      <alignment horizontal="center" vertical="center"/>
    </xf>
    <xf numFmtId="3" fontId="9" fillId="0" borderId="32" xfId="0" applyNumberFormat="1" applyFont="1" applyFill="1" applyBorder="1" applyAlignment="1" applyProtection="1">
      <alignment horizontal="center"/>
      <protection locked="0"/>
    </xf>
    <xf numFmtId="0" fontId="9" fillId="0" borderId="32" xfId="0" applyNumberFormat="1" applyFont="1" applyFill="1" applyBorder="1" applyAlignment="1" applyProtection="1">
      <alignment horizontal="center"/>
      <protection locked="0"/>
    </xf>
    <xf numFmtId="4" fontId="9" fillId="0" borderId="32" xfId="1" applyNumberFormat="1" applyFont="1" applyFill="1" applyBorder="1" applyProtection="1">
      <protection locked="0"/>
    </xf>
    <xf numFmtId="4" fontId="33" fillId="0" borderId="32" xfId="1" applyNumberFormat="1" applyFont="1" applyFill="1" applyBorder="1" applyProtection="1"/>
    <xf numFmtId="0" fontId="9" fillId="0" borderId="33" xfId="0" applyFont="1" applyFill="1" applyBorder="1" applyAlignment="1" applyProtection="1">
      <alignment horizontal="center"/>
    </xf>
    <xf numFmtId="0" fontId="1" fillId="0" borderId="33" xfId="0" applyNumberFormat="1" applyFont="1" applyFill="1" applyBorder="1" applyAlignment="1">
      <alignment horizontal="center"/>
    </xf>
    <xf numFmtId="4" fontId="9" fillId="0" borderId="33" xfId="1" applyNumberFormat="1" applyFont="1" applyFill="1" applyBorder="1" applyProtection="1">
      <protection locked="0"/>
    </xf>
    <xf numFmtId="0" fontId="2" fillId="0" borderId="1" xfId="0" applyFont="1" applyFill="1" applyBorder="1" applyAlignment="1">
      <alignment horizontal="center"/>
    </xf>
    <xf numFmtId="0" fontId="2" fillId="0" borderId="1" xfId="0" applyFont="1" applyFill="1" applyBorder="1" applyAlignment="1">
      <alignment horizontal="center" vertical="center"/>
    </xf>
    <xf numFmtId="0" fontId="1" fillId="0" borderId="0" xfId="0" applyFont="1" applyBorder="1"/>
    <xf numFmtId="0" fontId="0" fillId="12" borderId="1" xfId="0" applyFill="1" applyBorder="1"/>
    <xf numFmtId="0" fontId="0" fillId="12" borderId="32" xfId="0" applyFill="1" applyBorder="1"/>
    <xf numFmtId="0" fontId="1" fillId="12" borderId="32" xfId="0" applyFont="1" applyFill="1" applyBorder="1"/>
    <xf numFmtId="0" fontId="1" fillId="12" borderId="33" xfId="0" applyFont="1" applyFill="1" applyBorder="1"/>
    <xf numFmtId="0" fontId="2" fillId="0" borderId="1" xfId="0" applyFont="1" applyBorder="1"/>
    <xf numFmtId="0" fontId="1" fillId="0" borderId="32" xfId="0" applyFont="1" applyBorder="1"/>
    <xf numFmtId="0" fontId="1" fillId="0" borderId="33" xfId="0" applyFont="1" applyBorder="1"/>
    <xf numFmtId="0" fontId="0" fillId="15" borderId="2" xfId="0" applyFill="1" applyBorder="1"/>
    <xf numFmtId="0" fontId="1" fillId="14" borderId="2" xfId="0" applyNumberFormat="1" applyFont="1" applyFill="1" applyBorder="1" applyAlignment="1">
      <alignment horizontal="center"/>
    </xf>
    <xf numFmtId="3" fontId="33" fillId="14" borderId="4" xfId="0" applyNumberFormat="1" applyFont="1" applyFill="1" applyBorder="1" applyAlignment="1" applyProtection="1">
      <alignment horizontal="center"/>
      <protection locked="0"/>
    </xf>
    <xf numFmtId="0" fontId="9" fillId="0" borderId="32" xfId="0" applyFont="1" applyFill="1" applyBorder="1" applyAlignment="1" applyProtection="1">
      <alignment horizontal="center" vertical="center" wrapText="1"/>
    </xf>
    <xf numFmtId="4" fontId="9" fillId="0" borderId="32" xfId="1" applyNumberFormat="1" applyFont="1" applyFill="1" applyBorder="1" applyProtection="1"/>
    <xf numFmtId="4" fontId="9" fillId="0" borderId="33" xfId="1" applyNumberFormat="1" applyFont="1" applyFill="1" applyBorder="1" applyProtection="1"/>
    <xf numFmtId="0" fontId="1" fillId="0" borderId="33" xfId="0" applyFont="1" applyFill="1" applyBorder="1"/>
    <xf numFmtId="0" fontId="1" fillId="0" borderId="51" xfId="0" applyFont="1" applyFill="1" applyBorder="1"/>
    <xf numFmtId="0" fontId="1" fillId="0" borderId="32" xfId="0" applyFont="1" applyBorder="1" applyAlignment="1">
      <alignment horizontal="center"/>
    </xf>
    <xf numFmtId="0" fontId="0" fillId="15" borderId="2" xfId="0" applyFill="1" applyBorder="1" applyAlignment="1">
      <alignment horizontal="center"/>
    </xf>
    <xf numFmtId="0" fontId="1" fillId="0" borderId="33" xfId="0" applyFont="1" applyBorder="1" applyAlignment="1">
      <alignment horizontal="center"/>
    </xf>
    <xf numFmtId="0" fontId="37" fillId="0" borderId="0" xfId="0" applyFont="1"/>
    <xf numFmtId="44" fontId="1" fillId="14" borderId="2" xfId="2" applyFont="1" applyFill="1" applyBorder="1" applyAlignment="1">
      <alignment horizontal="center"/>
    </xf>
    <xf numFmtId="0" fontId="1" fillId="0" borderId="46" xfId="0" applyNumberFormat="1" applyFont="1" applyFill="1" applyBorder="1" applyAlignment="1">
      <alignment horizontal="center"/>
    </xf>
    <xf numFmtId="44" fontId="33" fillId="14" borderId="2" xfId="2" applyFont="1" applyFill="1" applyBorder="1" applyProtection="1"/>
    <xf numFmtId="0" fontId="0" fillId="0" borderId="0" xfId="0" applyFont="1" applyFill="1" applyBorder="1"/>
    <xf numFmtId="0" fontId="2" fillId="14" borderId="2" xfId="0" applyNumberFormat="1" applyFont="1" applyFill="1" applyBorder="1" applyAlignment="1">
      <alignment horizontal="center"/>
    </xf>
    <xf numFmtId="4" fontId="33" fillId="0" borderId="0" xfId="1" applyNumberFormat="1" applyFont="1" applyFill="1" applyBorder="1" applyProtection="1">
      <protection locked="0"/>
    </xf>
    <xf numFmtId="0" fontId="1" fillId="0" borderId="46" xfId="0" applyFont="1" applyFill="1" applyBorder="1" applyAlignment="1">
      <alignment horizontal="center" vertical="center"/>
    </xf>
    <xf numFmtId="0" fontId="2" fillId="0" borderId="50" xfId="0" applyNumberFormat="1" applyFont="1" applyFill="1" applyBorder="1" applyAlignment="1">
      <alignment horizontal="center"/>
    </xf>
    <xf numFmtId="0" fontId="2" fillId="0" borderId="1" xfId="0" applyNumberFormat="1" applyFont="1" applyFill="1" applyBorder="1" applyAlignment="1">
      <alignment horizontal="center"/>
    </xf>
    <xf numFmtId="0" fontId="2" fillId="0" borderId="0" xfId="0" applyNumberFormat="1" applyFont="1" applyFill="1" applyBorder="1" applyAlignment="1">
      <alignment horizontal="center"/>
    </xf>
    <xf numFmtId="0" fontId="1" fillId="0" borderId="2" xfId="0" applyFont="1" applyFill="1" applyBorder="1" applyAlignment="1">
      <alignment horizontal="center" vertical="center"/>
    </xf>
    <xf numFmtId="0" fontId="1" fillId="0" borderId="1" xfId="0" applyFont="1" applyFill="1" applyBorder="1"/>
    <xf numFmtId="0" fontId="2" fillId="0" borderId="48" xfId="0" applyNumberFormat="1" applyFont="1" applyFill="1" applyBorder="1" applyAlignment="1">
      <alignment horizontal="center"/>
    </xf>
    <xf numFmtId="0" fontId="2" fillId="0" borderId="2" xfId="0" applyNumberFormat="1" applyFont="1" applyFill="1" applyBorder="1" applyAlignment="1">
      <alignment horizontal="center"/>
    </xf>
    <xf numFmtId="0" fontId="1" fillId="3" borderId="46" xfId="0" applyFont="1" applyFill="1" applyBorder="1" applyAlignment="1">
      <alignment horizontal="center" vertical="center"/>
    </xf>
    <xf numFmtId="0" fontId="9" fillId="3" borderId="46" xfId="0" applyFont="1" applyFill="1" applyBorder="1" applyAlignment="1" applyProtection="1">
      <alignment horizontal="center" vertical="center"/>
    </xf>
    <xf numFmtId="4" fontId="9" fillId="3" borderId="46" xfId="1" applyNumberFormat="1" applyFont="1" applyFill="1" applyBorder="1" applyAlignment="1" applyProtection="1">
      <alignment horizontal="center" vertical="center"/>
      <protection locked="0"/>
    </xf>
    <xf numFmtId="43" fontId="0" fillId="0" borderId="0" xfId="0" applyNumberFormat="1"/>
    <xf numFmtId="0" fontId="2" fillId="0" borderId="0" xfId="0" applyFont="1" applyAlignment="1">
      <alignment horizontal="center"/>
    </xf>
    <xf numFmtId="44" fontId="2" fillId="0" borderId="2" xfId="0" applyNumberFormat="1" applyFont="1" applyFill="1" applyBorder="1"/>
    <xf numFmtId="44" fontId="2" fillId="0" borderId="2" xfId="2" applyFont="1" applyFill="1" applyBorder="1"/>
    <xf numFmtId="44" fontId="0" fillId="0" borderId="2" xfId="2" applyFont="1" applyFill="1" applyBorder="1" applyAlignment="1">
      <alignment horizontal="center"/>
    </xf>
    <xf numFmtId="0" fontId="1" fillId="13" borderId="2" xfId="0" applyFont="1" applyFill="1" applyBorder="1" applyAlignment="1">
      <alignment horizontal="center"/>
    </xf>
    <xf numFmtId="44" fontId="0" fillId="13" borderId="2" xfId="2" applyFont="1" applyFill="1" applyBorder="1" applyAlignment="1">
      <alignment horizontal="center"/>
    </xf>
    <xf numFmtId="4" fontId="9" fillId="3" borderId="2" xfId="1" applyNumberFormat="1" applyFont="1" applyFill="1" applyBorder="1" applyAlignment="1" applyProtection="1">
      <alignment horizontal="center" vertical="center"/>
      <protection locked="0"/>
    </xf>
    <xf numFmtId="44" fontId="2" fillId="10" borderId="2" xfId="0" applyNumberFormat="1" applyFont="1" applyFill="1" applyBorder="1"/>
    <xf numFmtId="0" fontId="1" fillId="0" borderId="45" xfId="0" applyFont="1" applyBorder="1"/>
    <xf numFmtId="0" fontId="1" fillId="0" borderId="45" xfId="0" applyFont="1" applyFill="1" applyBorder="1"/>
    <xf numFmtId="165" fontId="1" fillId="0" borderId="0" xfId="2" applyNumberFormat="1" applyFont="1" applyFill="1" applyBorder="1"/>
    <xf numFmtId="165" fontId="1" fillId="0" borderId="0" xfId="2" applyNumberFormat="1" applyFont="1"/>
    <xf numFmtId="165" fontId="1" fillId="0" borderId="0" xfId="0" applyNumberFormat="1" applyFont="1" applyFill="1" applyBorder="1"/>
    <xf numFmtId="165" fontId="2" fillId="0" borderId="0" xfId="2" applyNumberFormat="1" applyFont="1" applyFill="1" applyBorder="1"/>
    <xf numFmtId="165" fontId="2" fillId="0" borderId="0" xfId="2" applyNumberFormat="1" applyFont="1"/>
    <xf numFmtId="0" fontId="38" fillId="0" borderId="0" xfId="0" applyFont="1"/>
    <xf numFmtId="3" fontId="39" fillId="14" borderId="4" xfId="0" applyNumberFormat="1" applyFont="1" applyFill="1" applyBorder="1" applyAlignment="1" applyProtection="1">
      <alignment horizontal="center"/>
      <protection locked="0"/>
    </xf>
    <xf numFmtId="44" fontId="10" fillId="14" borderId="2" xfId="2" applyFont="1" applyFill="1" applyBorder="1" applyAlignment="1">
      <alignment horizontal="center"/>
    </xf>
    <xf numFmtId="0" fontId="2" fillId="9" borderId="2" xfId="0" applyFont="1" applyFill="1" applyBorder="1" applyAlignment="1">
      <alignment horizontal="center" vertical="center"/>
    </xf>
    <xf numFmtId="44" fontId="1" fillId="13" borderId="2" xfId="2" applyFont="1" applyFill="1" applyBorder="1"/>
    <xf numFmtId="44" fontId="2" fillId="9" borderId="2" xfId="2" applyFont="1" applyFill="1" applyBorder="1"/>
    <xf numFmtId="10" fontId="0" fillId="0" borderId="0" xfId="5" applyNumberFormat="1" applyFont="1"/>
    <xf numFmtId="0" fontId="2" fillId="0" borderId="52"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44" fontId="0" fillId="0" borderId="54" xfId="2" applyFont="1" applyBorder="1" applyAlignment="1">
      <alignment horizontal="center"/>
    </xf>
    <xf numFmtId="0" fontId="0" fillId="0" borderId="54" xfId="0" applyBorder="1" applyAlignment="1">
      <alignment horizontal="center"/>
    </xf>
    <xf numFmtId="44" fontId="0" fillId="0" borderId="15" xfId="2" applyFont="1" applyBorder="1" applyAlignment="1">
      <alignment horizontal="center"/>
    </xf>
    <xf numFmtId="0" fontId="0" fillId="0" borderId="15" xfId="0" applyBorder="1" applyAlignment="1">
      <alignment horizontal="center"/>
    </xf>
    <xf numFmtId="44" fontId="0" fillId="0" borderId="37" xfId="2" applyFont="1" applyBorder="1" applyAlignment="1">
      <alignment horizontal="center"/>
    </xf>
    <xf numFmtId="0" fontId="0" fillId="0" borderId="37" xfId="0" applyBorder="1" applyAlignment="1">
      <alignment horizontal="center"/>
    </xf>
    <xf numFmtId="0" fontId="0" fillId="3" borderId="54" xfId="0" applyFill="1" applyBorder="1" applyAlignment="1">
      <alignment horizontal="center"/>
    </xf>
    <xf numFmtId="0" fontId="0" fillId="3" borderId="15" xfId="0" applyFill="1" applyBorder="1" applyAlignment="1">
      <alignment horizontal="center"/>
    </xf>
    <xf numFmtId="0" fontId="0" fillId="3" borderId="37" xfId="0" applyFill="1" applyBorder="1" applyAlignment="1">
      <alignment horizontal="center"/>
    </xf>
    <xf numFmtId="10" fontId="0" fillId="3" borderId="54" xfId="5" applyNumberFormat="1" applyFont="1" applyFill="1" applyBorder="1" applyAlignment="1">
      <alignment horizontal="center"/>
    </xf>
    <xf numFmtId="10" fontId="0" fillId="3" borderId="15" xfId="5" applyNumberFormat="1" applyFont="1" applyFill="1" applyBorder="1" applyAlignment="1">
      <alignment horizontal="center"/>
    </xf>
    <xf numFmtId="10" fontId="0" fillId="3" borderId="37" xfId="5" applyNumberFormat="1" applyFont="1" applyFill="1" applyBorder="1" applyAlignment="1">
      <alignment horizontal="center"/>
    </xf>
    <xf numFmtId="0" fontId="2" fillId="0" borderId="0" xfId="0" applyFont="1" applyFill="1" applyBorder="1" applyAlignment="1">
      <alignment horizontal="left"/>
    </xf>
    <xf numFmtId="0" fontId="0" fillId="0" borderId="52" xfId="0" applyBorder="1"/>
    <xf numFmtId="0" fontId="2" fillId="0" borderId="10" xfId="0" applyFont="1" applyBorder="1" applyAlignment="1">
      <alignment horizontal="center" vertical="center" wrapText="1"/>
    </xf>
    <xf numFmtId="0" fontId="2" fillId="0" borderId="10" xfId="0" applyFont="1" applyBorder="1" applyAlignment="1">
      <alignment horizontal="center" wrapText="1"/>
    </xf>
    <xf numFmtId="0" fontId="0" fillId="0" borderId="54" xfId="0" applyBorder="1"/>
    <xf numFmtId="0" fontId="0" fillId="0" borderId="15" xfId="0" applyBorder="1"/>
    <xf numFmtId="0" fontId="0" fillId="0" borderId="37" xfId="0" applyBorder="1"/>
    <xf numFmtId="9" fontId="0" fillId="3" borderId="54" xfId="5" applyFont="1" applyFill="1" applyBorder="1"/>
    <xf numFmtId="9" fontId="0" fillId="3" borderId="15" xfId="5" applyFont="1" applyFill="1" applyBorder="1"/>
    <xf numFmtId="9" fontId="0" fillId="3" borderId="37" xfId="5" applyFont="1" applyFill="1" applyBorder="1"/>
    <xf numFmtId="44" fontId="0" fillId="0" borderId="54" xfId="2" applyFont="1" applyBorder="1"/>
    <xf numFmtId="44" fontId="0" fillId="0" borderId="15" xfId="2" applyFont="1" applyBorder="1"/>
    <xf numFmtId="44" fontId="0" fillId="0" borderId="37" xfId="2" applyFont="1" applyBorder="1"/>
    <xf numFmtId="44" fontId="0" fillId="3" borderId="54" xfId="2" applyFont="1" applyFill="1" applyBorder="1"/>
    <xf numFmtId="44" fontId="0" fillId="3" borderId="15" xfId="2" applyFont="1" applyFill="1" applyBorder="1"/>
    <xf numFmtId="44" fontId="0" fillId="3" borderId="37" xfId="2" applyFont="1" applyFill="1" applyBorder="1"/>
    <xf numFmtId="0" fontId="2" fillId="0" borderId="10" xfId="0" applyFont="1" applyBorder="1" applyAlignment="1">
      <alignment horizontal="center" vertical="center"/>
    </xf>
    <xf numFmtId="44" fontId="0" fillId="0" borderId="29" xfId="2" applyFont="1" applyBorder="1"/>
    <xf numFmtId="44" fontId="0" fillId="0" borderId="55" xfId="2" applyFont="1" applyBorder="1"/>
    <xf numFmtId="0" fontId="0" fillId="0" borderId="9" xfId="0" applyBorder="1" applyAlignment="1">
      <alignment horizontal="center"/>
    </xf>
    <xf numFmtId="44" fontId="0" fillId="0" borderId="9" xfId="0" applyNumberFormat="1" applyBorder="1" applyAlignment="1">
      <alignment horizontal="center"/>
    </xf>
    <xf numFmtId="0" fontId="0" fillId="0" borderId="54" xfId="0" applyBorder="1" applyAlignment="1">
      <alignment horizontal="right"/>
    </xf>
    <xf numFmtId="0" fontId="0" fillId="0" borderId="37" xfId="0" applyBorder="1" applyAlignment="1">
      <alignment horizontal="right"/>
    </xf>
    <xf numFmtId="0" fontId="0" fillId="0" borderId="15" xfId="0" applyBorder="1" applyAlignment="1">
      <alignment horizontal="right"/>
    </xf>
    <xf numFmtId="0" fontId="0" fillId="0" borderId="54" xfId="0" applyFont="1" applyBorder="1" applyAlignment="1">
      <alignment horizontal="right"/>
    </xf>
    <xf numFmtId="0" fontId="0" fillId="0" borderId="15" xfId="0" applyFont="1" applyBorder="1" applyAlignment="1">
      <alignment horizontal="right"/>
    </xf>
    <xf numFmtId="0" fontId="0" fillId="0" borderId="37" xfId="0" applyFont="1" applyBorder="1" applyAlignment="1">
      <alignment horizontal="right"/>
    </xf>
    <xf numFmtId="0" fontId="0" fillId="0" borderId="16" xfId="0" applyFont="1" applyBorder="1" applyAlignment="1">
      <alignment horizontal="center"/>
    </xf>
    <xf numFmtId="0" fontId="0" fillId="0" borderId="17" xfId="0" applyFont="1" applyBorder="1" applyAlignment="1">
      <alignment horizontal="center"/>
    </xf>
    <xf numFmtId="44" fontId="0" fillId="0" borderId="31" xfId="2" applyFont="1" applyBorder="1" applyAlignment="1">
      <alignment horizontal="right"/>
    </xf>
    <xf numFmtId="44" fontId="0" fillId="0" borderId="40" xfId="2" applyFont="1" applyBorder="1" applyAlignment="1">
      <alignment horizontal="right"/>
    </xf>
    <xf numFmtId="0" fontId="0" fillId="0" borderId="8" xfId="0" applyBorder="1" applyAlignment="1">
      <alignment horizontal="center" vertical="center" wrapText="1"/>
    </xf>
    <xf numFmtId="0" fontId="0" fillId="0" borderId="53" xfId="0" applyBorder="1" applyAlignment="1">
      <alignment horizontal="center" vertical="center"/>
    </xf>
    <xf numFmtId="0" fontId="0" fillId="0" borderId="8" xfId="0" applyBorder="1"/>
    <xf numFmtId="0" fontId="0" fillId="0" borderId="53" xfId="0" applyBorder="1"/>
    <xf numFmtId="0" fontId="0" fillId="0" borderId="10" xfId="0" applyBorder="1" applyAlignment="1">
      <alignment horizontal="center" vertical="center" wrapText="1"/>
    </xf>
    <xf numFmtId="44" fontId="0" fillId="0" borderId="16" xfId="2" applyFont="1" applyBorder="1"/>
    <xf numFmtId="44" fontId="2" fillId="0" borderId="9" xfId="0" applyNumberFormat="1" applyFont="1" applyBorder="1" applyAlignment="1">
      <alignment horizontal="center"/>
    </xf>
    <xf numFmtId="44" fontId="2" fillId="0" borderId="10" xfId="2" applyFont="1" applyBorder="1"/>
    <xf numFmtId="44" fontId="0" fillId="0" borderId="0" xfId="0" applyNumberFormat="1" applyFill="1"/>
    <xf numFmtId="44" fontId="0" fillId="0" borderId="0" xfId="2" applyFont="1" applyFill="1" applyBorder="1" applyAlignment="1">
      <alignment horizontal="center"/>
    </xf>
    <xf numFmtId="44" fontId="0" fillId="0" borderId="0" xfId="0" applyNumberFormat="1" applyFill="1" applyBorder="1" applyAlignment="1">
      <alignment horizontal="center"/>
    </xf>
    <xf numFmtId="0" fontId="2" fillId="0" borderId="0" xfId="0" applyFont="1" applyFill="1" applyBorder="1" applyAlignment="1">
      <alignment horizontal="center" vertical="center" wrapText="1"/>
    </xf>
    <xf numFmtId="9" fontId="0" fillId="0" borderId="0" xfId="5" applyFont="1" applyFill="1" applyBorder="1"/>
    <xf numFmtId="44" fontId="2" fillId="0" borderId="0" xfId="0" applyNumberFormat="1" applyFont="1" applyFill="1" applyBorder="1" applyAlignment="1">
      <alignment horizontal="center"/>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Font="1" applyFill="1" applyBorder="1" applyAlignment="1">
      <alignment horizontal="center"/>
    </xf>
    <xf numFmtId="44" fontId="0" fillId="0" borderId="0" xfId="2" applyFont="1" applyFill="1" applyBorder="1" applyAlignment="1">
      <alignment horizontal="right"/>
    </xf>
    <xf numFmtId="44" fontId="2" fillId="0" borderId="0" xfId="2" applyFont="1" applyFill="1" applyBorder="1"/>
    <xf numFmtId="43" fontId="27" fillId="0" borderId="0" xfId="1" applyFont="1" applyFill="1" applyBorder="1" applyAlignment="1" applyProtection="1"/>
    <xf numFmtId="44" fontId="2" fillId="0" borderId="0" xfId="2" applyFont="1" applyFill="1" applyBorder="1" applyAlignment="1">
      <alignment horizontal="center"/>
    </xf>
    <xf numFmtId="44" fontId="2" fillId="0" borderId="0" xfId="2" applyFont="1" applyFill="1" applyBorder="1" applyAlignment="1">
      <alignment horizontal="center" vertical="center" wrapText="1"/>
    </xf>
    <xf numFmtId="44" fontId="2" fillId="0" borderId="0" xfId="2" applyFont="1" applyFill="1" applyBorder="1" applyAlignment="1">
      <alignment horizontal="center" wrapText="1"/>
    </xf>
    <xf numFmtId="44" fontId="10" fillId="0" borderId="0" xfId="2" applyFont="1" applyFill="1" applyBorder="1" applyAlignment="1">
      <alignment horizontal="left"/>
    </xf>
    <xf numFmtId="0" fontId="2" fillId="0" borderId="52" xfId="0" applyFont="1" applyFill="1" applyBorder="1"/>
    <xf numFmtId="0" fontId="0" fillId="0" borderId="31" xfId="0" applyFill="1" applyBorder="1"/>
    <xf numFmtId="44" fontId="2" fillId="0" borderId="31" xfId="2" applyFont="1" applyFill="1" applyBorder="1" applyAlignment="1">
      <alignment horizontal="center"/>
    </xf>
    <xf numFmtId="44" fontId="0" fillId="0" borderId="31" xfId="2" applyFont="1" applyFill="1" applyBorder="1" applyAlignment="1">
      <alignment horizontal="center"/>
    </xf>
    <xf numFmtId="0" fontId="0" fillId="0" borderId="0" xfId="0" applyFill="1" applyBorder="1" applyAlignment="1"/>
    <xf numFmtId="44" fontId="0" fillId="0" borderId="53" xfId="2" applyFont="1" applyFill="1" applyBorder="1" applyAlignment="1">
      <alignment horizontal="center"/>
    </xf>
    <xf numFmtId="44" fontId="0" fillId="0" borderId="9" xfId="2" applyFont="1" applyFill="1" applyBorder="1" applyAlignment="1">
      <alignment horizontal="center"/>
    </xf>
    <xf numFmtId="44" fontId="2" fillId="9" borderId="10" xfId="2" applyFont="1" applyFill="1" applyBorder="1" applyAlignment="1">
      <alignment horizontal="center"/>
    </xf>
    <xf numFmtId="44" fontId="2" fillId="6" borderId="2" xfId="2" applyFont="1" applyFill="1" applyBorder="1"/>
    <xf numFmtId="0" fontId="2" fillId="3" borderId="0" xfId="0" applyFont="1" applyFill="1" applyAlignment="1">
      <alignment horizontal="center"/>
    </xf>
    <xf numFmtId="9" fontId="2" fillId="3" borderId="0" xfId="5" applyFont="1" applyFill="1" applyBorder="1"/>
    <xf numFmtId="9" fontId="2" fillId="3" borderId="0" xfId="5" applyFont="1" applyFill="1"/>
    <xf numFmtId="0" fontId="8" fillId="9" borderId="11" xfId="0" applyFont="1" applyFill="1" applyBorder="1" applyAlignment="1">
      <alignment horizontal="center" vertical="center"/>
    </xf>
    <xf numFmtId="0" fontId="8" fillId="0" borderId="0" xfId="0" applyFont="1" applyAlignment="1">
      <alignment horizontal="center" vertical="center"/>
    </xf>
    <xf numFmtId="0" fontId="3" fillId="0" borderId="0" xfId="0" applyFont="1" applyFill="1"/>
    <xf numFmtId="43" fontId="16" fillId="9" borderId="23" xfId="3" applyNumberFormat="1" applyFill="1" applyBorder="1" applyAlignment="1" applyProtection="1">
      <alignment horizontal="center" vertical="center"/>
    </xf>
    <xf numFmtId="43" fontId="16" fillId="9" borderId="24" xfId="3" applyNumberFormat="1" applyFill="1" applyBorder="1" applyAlignment="1" applyProtection="1">
      <alignment horizontal="center" vertical="center"/>
    </xf>
    <xf numFmtId="43" fontId="16" fillId="9" borderId="39" xfId="3" applyNumberFormat="1" applyFill="1" applyBorder="1" applyAlignment="1" applyProtection="1">
      <alignment horizontal="center" vertical="center"/>
    </xf>
    <xf numFmtId="43" fontId="16" fillId="9" borderId="40" xfId="3" applyNumberFormat="1" applyFill="1" applyBorder="1" applyAlignment="1" applyProtection="1">
      <alignment horizontal="center"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12" fillId="2" borderId="0" xfId="0" applyFont="1" applyFill="1" applyBorder="1" applyAlignment="1">
      <alignment horizontal="center" vertical="center" textRotation="90" wrapText="1"/>
    </xf>
    <xf numFmtId="0" fontId="14" fillId="4"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0" fillId="9" borderId="12" xfId="0" applyFont="1" applyFill="1" applyBorder="1" applyAlignment="1">
      <alignment horizontal="center" vertical="center" textRotation="90"/>
    </xf>
    <xf numFmtId="0" fontId="0" fillId="0" borderId="16" xfId="0" applyBorder="1" applyAlignment="1">
      <alignment horizontal="center" vertical="center" textRotation="90"/>
    </xf>
    <xf numFmtId="0" fontId="0" fillId="0" borderId="17" xfId="0" applyBorder="1" applyAlignment="1">
      <alignment horizontal="center" vertical="center" textRotation="90"/>
    </xf>
    <xf numFmtId="0" fontId="20" fillId="9" borderId="12" xfId="0" applyFont="1" applyFill="1" applyBorder="1" applyAlignment="1">
      <alignment horizontal="center" vertical="center" textRotation="90" wrapText="1"/>
    </xf>
    <xf numFmtId="0" fontId="20" fillId="9" borderId="16" xfId="0" applyFont="1" applyFill="1" applyBorder="1" applyAlignment="1">
      <alignment horizontal="center" vertical="center" textRotation="90" wrapText="1"/>
    </xf>
    <xf numFmtId="0" fontId="0" fillId="0" borderId="16" xfId="0" applyBorder="1" applyAlignment="1">
      <alignment horizontal="center" vertical="center" textRotation="90" wrapText="1"/>
    </xf>
    <xf numFmtId="0" fontId="0" fillId="0" borderId="17" xfId="0" applyBorder="1" applyAlignment="1">
      <alignment horizontal="center" vertical="center" textRotation="90" wrapText="1"/>
    </xf>
    <xf numFmtId="0" fontId="2" fillId="9" borderId="8" xfId="0" applyFont="1" applyFill="1" applyBorder="1" applyAlignment="1">
      <alignment horizontal="center"/>
    </xf>
    <xf numFmtId="0" fontId="2" fillId="9" borderId="53" xfId="0" applyFont="1" applyFill="1" applyBorder="1" applyAlignment="1">
      <alignment horizontal="center"/>
    </xf>
    <xf numFmtId="0" fontId="2" fillId="0" borderId="0" xfId="0" applyFont="1" applyFill="1" applyBorder="1" applyAlignment="1">
      <alignment horizontal="center"/>
    </xf>
    <xf numFmtId="0" fontId="0" fillId="0" borderId="8" xfId="0" applyFill="1" applyBorder="1" applyAlignment="1">
      <alignment horizontal="center"/>
    </xf>
    <xf numFmtId="0" fontId="0" fillId="0" borderId="53" xfId="0" applyFill="1" applyBorder="1" applyAlignment="1">
      <alignment horizontal="center"/>
    </xf>
    <xf numFmtId="0" fontId="0" fillId="0" borderId="9" xfId="0" applyFill="1" applyBorder="1" applyAlignment="1">
      <alignment horizontal="center"/>
    </xf>
    <xf numFmtId="0" fontId="2" fillId="0" borderId="52" xfId="0" applyFont="1" applyFill="1" applyBorder="1" applyAlignment="1">
      <alignment horizontal="center"/>
    </xf>
    <xf numFmtId="0" fontId="2" fillId="15" borderId="49" xfId="0" applyFont="1" applyFill="1" applyBorder="1" applyAlignment="1">
      <alignment horizontal="center"/>
    </xf>
    <xf numFmtId="0" fontId="2" fillId="15" borderId="5" xfId="0" applyFont="1" applyFill="1" applyBorder="1" applyAlignment="1">
      <alignment horizontal="center"/>
    </xf>
    <xf numFmtId="0" fontId="2" fillId="15" borderId="6" xfId="0" applyFont="1" applyFill="1" applyBorder="1" applyAlignment="1">
      <alignment horizontal="center"/>
    </xf>
    <xf numFmtId="0" fontId="2" fillId="15" borderId="2" xfId="0" applyFont="1" applyFill="1" applyBorder="1" applyAlignment="1">
      <alignment horizontal="center"/>
    </xf>
    <xf numFmtId="0" fontId="2" fillId="15" borderId="4" xfId="0" applyFont="1" applyFill="1" applyBorder="1" applyAlignment="1">
      <alignment horizontal="center"/>
    </xf>
    <xf numFmtId="0" fontId="0" fillId="15" borderId="48" xfId="0" applyFill="1" applyBorder="1" applyAlignment="1">
      <alignment horizontal="center"/>
    </xf>
    <xf numFmtId="0" fontId="0" fillId="15" borderId="2" xfId="0" applyFill="1" applyBorder="1" applyAlignment="1">
      <alignment horizontal="center"/>
    </xf>
    <xf numFmtId="4" fontId="9" fillId="15" borderId="2" xfId="1" applyNumberFormat="1" applyFont="1" applyFill="1" applyBorder="1" applyAlignment="1" applyProtection="1">
      <alignment horizontal="center"/>
      <protection locked="0"/>
    </xf>
    <xf numFmtId="4" fontId="9" fillId="15" borderId="48" xfId="1" applyNumberFormat="1" applyFont="1" applyFill="1" applyBorder="1" applyAlignment="1" applyProtection="1">
      <alignment horizontal="center"/>
      <protection locked="0"/>
    </xf>
  </cellXfs>
  <cellStyles count="6">
    <cellStyle name="Lien hypertexte" xfId="3" builtinId="8"/>
    <cellStyle name="Milliers" xfId="1" builtinId="3"/>
    <cellStyle name="Monétaire" xfId="2" builtinId="4"/>
    <cellStyle name="Normal" xfId="0" builtinId="0"/>
    <cellStyle name="Normal 2" xfId="4"/>
    <cellStyle name="Pourcentage" xfId="5" builtinId="5"/>
  </cellStyles>
  <dxfs count="8">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font>
        <color theme="0"/>
      </font>
    </dxf>
    <dxf>
      <font>
        <color theme="0"/>
      </font>
      <fill>
        <patternFill>
          <bgColor theme="0"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L21" sqref="L21"/>
    </sheetView>
  </sheetViews>
  <sheetFormatPr baseColWidth="10" defaultColWidth="9.140625" defaultRowHeight="15"/>
  <cols>
    <col min="1" max="1" width="30.5703125" bestFit="1" customWidth="1"/>
    <col min="2" max="2" width="16.28515625" bestFit="1" customWidth="1"/>
  </cols>
  <sheetData>
    <row r="1" spans="1:7" ht="21">
      <c r="A1" s="1"/>
      <c r="B1" s="2"/>
      <c r="C1" s="2"/>
      <c r="D1" s="2"/>
      <c r="E1" s="14"/>
      <c r="F1" s="14"/>
      <c r="G1" s="14"/>
    </row>
    <row r="2" spans="1:7">
      <c r="A2" s="3"/>
      <c r="B2" s="4"/>
      <c r="C2" s="4"/>
      <c r="D2" s="4"/>
      <c r="E2" s="15"/>
      <c r="F2" s="16"/>
      <c r="G2" s="16"/>
    </row>
    <row r="3" spans="1:7">
      <c r="A3" s="3"/>
      <c r="B3" s="4"/>
      <c r="C3" s="4"/>
      <c r="D3" s="4"/>
      <c r="E3" s="4"/>
      <c r="F3" s="4"/>
      <c r="G3" s="4"/>
    </row>
    <row r="4" spans="1:7">
      <c r="A4" s="3" t="s">
        <v>0</v>
      </c>
      <c r="B4" s="5"/>
      <c r="C4" s="4"/>
      <c r="D4" s="3"/>
      <c r="E4" s="6" t="s">
        <v>1</v>
      </c>
      <c r="F4" s="7"/>
      <c r="G4" s="3"/>
    </row>
    <row r="5" spans="1:7">
      <c r="A5" s="3" t="s">
        <v>2</v>
      </c>
      <c r="B5" s="8"/>
      <c r="C5" s="4"/>
      <c r="D5" s="4"/>
      <c r="E5" s="6" t="s">
        <v>3</v>
      </c>
      <c r="F5" s="9"/>
      <c r="G5" s="3"/>
    </row>
    <row r="6" spans="1:7">
      <c r="A6" s="3" t="s">
        <v>4</v>
      </c>
      <c r="B6" s="10"/>
      <c r="C6" s="4"/>
      <c r="D6" s="4"/>
      <c r="E6" s="6"/>
      <c r="F6" s="7"/>
      <c r="G6" s="3"/>
    </row>
    <row r="7" spans="1:7">
      <c r="A7" s="3" t="s">
        <v>5</v>
      </c>
      <c r="B7" s="11"/>
      <c r="C7" s="4"/>
      <c r="D7" s="4"/>
      <c r="E7" s="6" t="s">
        <v>6</v>
      </c>
      <c r="F7" s="7"/>
      <c r="G7" s="3"/>
    </row>
    <row r="8" spans="1:7">
      <c r="A8" s="3"/>
      <c r="B8" s="12"/>
      <c r="C8" s="4"/>
      <c r="D8" s="4"/>
      <c r="E8" s="6" t="s">
        <v>3</v>
      </c>
      <c r="F8" s="9"/>
      <c r="G8" s="3"/>
    </row>
    <row r="9" spans="1:7">
      <c r="A9" s="13"/>
      <c r="B9" s="13"/>
      <c r="C9" s="13"/>
      <c r="D9" s="13"/>
      <c r="E9" s="13"/>
      <c r="F9" s="13"/>
      <c r="G9" s="13"/>
    </row>
    <row r="10" spans="1:7">
      <c r="A10" s="3"/>
      <c r="B10" s="4"/>
      <c r="C10" s="4"/>
      <c r="D10" s="4"/>
      <c r="E10" s="4"/>
      <c r="F10" s="3"/>
      <c r="G10" s="3"/>
    </row>
    <row r="12" spans="1:7">
      <c r="A12" s="17" t="s">
        <v>7</v>
      </c>
      <c r="B12" s="41" t="s">
        <v>256</v>
      </c>
    </row>
    <row r="14" spans="1:7">
      <c r="B14" s="41" t="s">
        <v>257</v>
      </c>
    </row>
    <row r="16" spans="1:7">
      <c r="B16" s="41" t="s">
        <v>258</v>
      </c>
    </row>
    <row r="18" spans="2:2">
      <c r="B18" s="41" t="s">
        <v>232</v>
      </c>
    </row>
    <row r="20" spans="2:2">
      <c r="B20" s="41" t="s">
        <v>259</v>
      </c>
    </row>
    <row r="22" spans="2:2">
      <c r="B22" s="41" t="s">
        <v>260</v>
      </c>
    </row>
    <row r="24" spans="2:2">
      <c r="B24" s="41" t="s">
        <v>261</v>
      </c>
    </row>
    <row r="26" spans="2:2">
      <c r="B26" s="41" t="s">
        <v>262</v>
      </c>
    </row>
  </sheetData>
  <hyperlinks>
    <hyperlink ref="B12" location="'Fiche d''identification'!A1" display="Fiche d'identification"/>
    <hyperlink ref="B14" location="'Liste des professionnels'!A1" display="Liste des professionnels"/>
    <hyperlink ref="B16" location="'Calcul de la dotation NMR'!A1" display="Calcul de la dotation NMR Prévisionnelle"/>
    <hyperlink ref="B18" location="'Frais de fonctionnement prev'!A1" display="Frais de fonctionnement prévisionnels"/>
    <hyperlink ref="B20" location="'Synthèse prévisionnelle'!A1" display="Synthèse prévisionnelle"/>
    <hyperlink ref="B22" location="'Rémunérations des pros'!A1" display="Rémunération des professionnels"/>
    <hyperlink ref="B24" location="'Résultat fiscal SISA'!A1" display="Résultat fiscal prévisionnel"/>
    <hyperlink ref="B26" location="'Impact fiscal et social'!A1" display="Impact fiscal et social prévisionnel pour les associé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5"/>
  <sheetViews>
    <sheetView tabSelected="1" topLeftCell="A10" zoomScale="85" zoomScaleNormal="85" workbookViewId="0">
      <selection activeCell="B50" sqref="B50"/>
    </sheetView>
  </sheetViews>
  <sheetFormatPr baseColWidth="10" defaultRowHeight="15"/>
  <cols>
    <col min="1" max="1" width="39.28515625" bestFit="1" customWidth="1"/>
    <col min="2" max="2" width="50.85546875" customWidth="1"/>
    <col min="3" max="3" width="25.42578125" bestFit="1" customWidth="1"/>
    <col min="4" max="4" width="15.85546875" bestFit="1" customWidth="1"/>
    <col min="5" max="7" width="16.28515625" bestFit="1" customWidth="1"/>
    <col min="9" max="9" width="12.28515625" customWidth="1"/>
    <col min="23" max="23" width="2.28515625" customWidth="1"/>
    <col min="24" max="24" width="18.7109375" bestFit="1" customWidth="1"/>
  </cols>
  <sheetData>
    <row r="1" spans="1:24" ht="21">
      <c r="A1" s="1"/>
      <c r="B1" s="2"/>
      <c r="C1" s="2"/>
      <c r="D1" s="2"/>
      <c r="E1" s="14"/>
      <c r="F1" s="14"/>
      <c r="G1" s="14"/>
      <c r="H1" s="14"/>
      <c r="I1" s="14"/>
    </row>
    <row r="2" spans="1:24">
      <c r="A2" s="3"/>
      <c r="B2" s="4"/>
      <c r="C2" s="4"/>
      <c r="D2" s="4"/>
      <c r="E2" s="15"/>
      <c r="F2" s="16"/>
      <c r="G2" s="16"/>
      <c r="H2" s="16"/>
      <c r="I2" s="16"/>
    </row>
    <row r="3" spans="1:24">
      <c r="A3" s="3"/>
      <c r="B3" s="4"/>
      <c r="C3" s="4"/>
      <c r="D3" s="4"/>
      <c r="E3" s="4"/>
      <c r="F3" s="4"/>
      <c r="G3" s="4"/>
      <c r="H3" s="4"/>
      <c r="I3" s="4"/>
    </row>
    <row r="4" spans="1:24">
      <c r="A4" s="3" t="s">
        <v>0</v>
      </c>
      <c r="B4" s="5"/>
      <c r="C4" s="4"/>
      <c r="D4" s="3"/>
      <c r="E4" s="6" t="s">
        <v>1</v>
      </c>
      <c r="F4" s="7"/>
      <c r="G4" s="7"/>
      <c r="H4" s="7"/>
      <c r="I4" s="3"/>
    </row>
    <row r="5" spans="1:24">
      <c r="A5" s="3" t="s">
        <v>2</v>
      </c>
      <c r="B5" s="8"/>
      <c r="C5" s="4"/>
      <c r="D5" s="4"/>
      <c r="E5" s="6" t="s">
        <v>3</v>
      </c>
      <c r="F5" s="9"/>
      <c r="G5" s="9"/>
      <c r="H5" s="9"/>
      <c r="I5" s="3"/>
    </row>
    <row r="6" spans="1:24">
      <c r="A6" s="3" t="s">
        <v>4</v>
      </c>
      <c r="B6" s="10"/>
      <c r="C6" s="4"/>
      <c r="D6" s="4"/>
      <c r="E6" s="6"/>
      <c r="F6" s="7"/>
      <c r="G6" s="7"/>
      <c r="H6" s="7"/>
      <c r="I6" s="3"/>
    </row>
    <row r="7" spans="1:24">
      <c r="A7" s="3" t="s">
        <v>5</v>
      </c>
      <c r="B7" s="11"/>
      <c r="C7" s="4"/>
      <c r="D7" s="4"/>
      <c r="E7" s="6" t="s">
        <v>6</v>
      </c>
      <c r="F7" s="7"/>
      <c r="G7" s="7"/>
      <c r="H7" s="7"/>
      <c r="I7" s="3"/>
    </row>
    <row r="8" spans="1:24">
      <c r="A8" s="3" t="s">
        <v>132</v>
      </c>
      <c r="B8" s="12" t="s">
        <v>175</v>
      </c>
      <c r="C8" s="4"/>
      <c r="D8" s="4"/>
      <c r="E8" s="6" t="s">
        <v>3</v>
      </c>
      <c r="F8" s="9"/>
      <c r="G8" s="9"/>
      <c r="H8" s="9"/>
      <c r="I8" s="3"/>
    </row>
    <row r="9" spans="1:24" ht="15.75" thickBot="1">
      <c r="A9" s="13"/>
      <c r="B9" s="13"/>
      <c r="C9" s="13"/>
      <c r="D9" s="13"/>
      <c r="E9" s="13"/>
      <c r="F9" s="13"/>
      <c r="G9" s="13"/>
      <c r="H9" s="13"/>
      <c r="I9" s="13"/>
      <c r="J9" s="119"/>
      <c r="K9" s="119"/>
      <c r="L9" s="119"/>
      <c r="M9" s="119"/>
      <c r="N9" s="119"/>
      <c r="O9" s="119"/>
      <c r="P9" s="119"/>
      <c r="Q9" s="119"/>
      <c r="R9" s="119"/>
      <c r="S9" s="119"/>
      <c r="T9" s="119"/>
      <c r="U9" s="119"/>
      <c r="V9" s="119"/>
      <c r="W9" s="119"/>
      <c r="X9" s="119"/>
    </row>
    <row r="10" spans="1:24">
      <c r="A10" s="3"/>
      <c r="B10" s="4"/>
      <c r="C10" s="4"/>
      <c r="D10" s="4"/>
      <c r="E10" s="4"/>
      <c r="F10" s="369" t="s">
        <v>131</v>
      </c>
      <c r="G10" s="370"/>
      <c r="H10" s="3"/>
      <c r="I10" s="3"/>
    </row>
    <row r="11" spans="1:24" ht="15.75" thickBot="1">
      <c r="A11" s="118" t="s">
        <v>134</v>
      </c>
      <c r="B11" s="20"/>
      <c r="C11" s="20"/>
      <c r="D11" s="20"/>
      <c r="E11" s="20"/>
      <c r="F11" s="371"/>
      <c r="G11" s="372"/>
      <c r="H11" s="20"/>
      <c r="I11" s="20"/>
      <c r="J11" s="20"/>
      <c r="K11" s="20"/>
      <c r="L11" s="20"/>
      <c r="M11" s="20"/>
      <c r="N11" s="20"/>
    </row>
    <row r="12" spans="1:24">
      <c r="A12" s="20"/>
      <c r="B12" s="20"/>
      <c r="C12" s="20"/>
      <c r="D12" s="20"/>
      <c r="E12" s="20"/>
      <c r="F12" s="20"/>
      <c r="G12" s="20"/>
      <c r="H12" s="20"/>
      <c r="I12" s="20"/>
      <c r="J12" s="20"/>
      <c r="K12" s="20"/>
      <c r="L12" s="20"/>
      <c r="M12" s="20"/>
      <c r="N12" s="20"/>
    </row>
    <row r="13" spans="1:24">
      <c r="A13" s="138"/>
      <c r="B13" s="20" t="s">
        <v>188</v>
      </c>
      <c r="C13" s="20"/>
      <c r="D13" s="20"/>
      <c r="E13" s="20"/>
      <c r="F13" s="20"/>
      <c r="G13" s="20"/>
      <c r="H13" s="20"/>
      <c r="I13" s="20"/>
      <c r="J13" s="20"/>
      <c r="K13" s="20"/>
      <c r="L13" s="20"/>
      <c r="M13" s="20"/>
      <c r="N13" s="20"/>
    </row>
    <row r="14" spans="1:24">
      <c r="A14" s="20"/>
      <c r="B14" s="20" t="s">
        <v>189</v>
      </c>
      <c r="C14" s="20"/>
      <c r="D14" s="20"/>
      <c r="E14" s="20"/>
      <c r="F14" s="20"/>
      <c r="G14" s="20"/>
      <c r="H14" s="20"/>
      <c r="I14" s="20"/>
      <c r="J14" s="20"/>
      <c r="K14" s="20"/>
      <c r="L14" s="20"/>
      <c r="M14" s="20"/>
      <c r="N14" s="20"/>
    </row>
    <row r="15" spans="1:24">
      <c r="A15" s="20"/>
      <c r="B15" s="20"/>
      <c r="C15" s="20"/>
      <c r="D15" s="20"/>
      <c r="E15" s="20"/>
      <c r="F15" s="20"/>
      <c r="G15" s="20"/>
      <c r="H15" s="20"/>
      <c r="I15" s="20"/>
      <c r="J15" s="20"/>
      <c r="K15" s="20"/>
      <c r="L15" s="20"/>
      <c r="M15" s="20"/>
      <c r="N15" s="20"/>
    </row>
    <row r="16" spans="1:24">
      <c r="A16" s="149" t="s">
        <v>249</v>
      </c>
      <c r="B16" s="20"/>
      <c r="C16" s="362">
        <f>'Synthèse prévisionnelle'!F24</f>
        <v>8585</v>
      </c>
      <c r="D16" s="20"/>
      <c r="E16" s="20"/>
      <c r="F16" s="20"/>
      <c r="G16" s="20"/>
      <c r="H16" s="20"/>
      <c r="I16" s="20"/>
      <c r="J16" s="20"/>
      <c r="K16" s="20"/>
      <c r="L16" s="20"/>
      <c r="M16" s="20"/>
      <c r="N16" s="20"/>
    </row>
    <row r="17" spans="1:25">
      <c r="A17" s="20"/>
      <c r="B17" s="20"/>
      <c r="C17" s="20"/>
      <c r="D17" s="20"/>
      <c r="E17" s="20"/>
      <c r="F17" s="20"/>
      <c r="G17" s="20"/>
      <c r="H17" s="20"/>
      <c r="I17" s="20"/>
      <c r="J17" s="20"/>
      <c r="K17" s="20"/>
      <c r="L17" s="20"/>
      <c r="M17" s="20"/>
      <c r="N17" s="20"/>
    </row>
    <row r="18" spans="1:25">
      <c r="A18" s="20"/>
      <c r="B18" s="20"/>
      <c r="C18" s="20"/>
      <c r="D18" s="20"/>
      <c r="E18" s="20"/>
      <c r="F18" s="20"/>
      <c r="G18" s="20"/>
      <c r="H18" s="20"/>
      <c r="I18" s="20"/>
      <c r="J18" s="20"/>
      <c r="K18" s="20"/>
      <c r="L18" s="20"/>
      <c r="M18" s="20"/>
      <c r="N18" s="20"/>
    </row>
    <row r="19" spans="1:25">
      <c r="A19" s="20"/>
      <c r="B19" s="20"/>
      <c r="C19" s="20"/>
      <c r="D19" s="20"/>
      <c r="E19" s="20"/>
      <c r="F19" s="20"/>
      <c r="G19" s="20"/>
      <c r="H19" s="20"/>
      <c r="I19" s="20"/>
      <c r="J19" s="20"/>
      <c r="K19" s="20"/>
      <c r="L19" s="20"/>
      <c r="M19" s="20"/>
      <c r="N19" s="20"/>
    </row>
    <row r="20" spans="1:25">
      <c r="A20" s="20"/>
      <c r="B20" s="20"/>
      <c r="C20" s="20"/>
      <c r="D20" s="400" t="s">
        <v>184</v>
      </c>
      <c r="E20" s="401"/>
      <c r="F20" s="401"/>
      <c r="G20" s="401"/>
      <c r="H20" s="401"/>
      <c r="I20" s="401"/>
      <c r="J20" s="401"/>
      <c r="K20" s="401"/>
      <c r="L20" s="401"/>
      <c r="M20" s="401"/>
      <c r="N20" s="401"/>
      <c r="O20" s="401"/>
      <c r="P20" s="401"/>
      <c r="Q20" s="401"/>
      <c r="R20" s="401"/>
      <c r="S20" s="401"/>
      <c r="T20" s="401"/>
      <c r="U20" s="401"/>
      <c r="V20" s="402"/>
      <c r="W20" s="225"/>
    </row>
    <row r="21" spans="1:25" ht="15" customHeight="1">
      <c r="A21" s="222" t="s">
        <v>176</v>
      </c>
      <c r="B21" s="223" t="s">
        <v>177</v>
      </c>
      <c r="C21" s="177" t="s">
        <v>179</v>
      </c>
      <c r="D21" s="251" t="str">
        <f>IF('Liste des professionnels'!$C8="","",'Liste des professionnels'!$C8)</f>
        <v>A</v>
      </c>
      <c r="E21" s="252" t="str">
        <f>IF('Liste des professionnels'!$C9="","",'Liste des professionnels'!$C9)</f>
        <v>A</v>
      </c>
      <c r="F21" s="252" t="str">
        <f>IF('Liste des professionnels'!$C10="","",'Liste des professionnels'!$C10)</f>
        <v>A</v>
      </c>
      <c r="G21" s="252" t="str">
        <f>IF('Liste des professionnels'!$C11="","",'Liste des professionnels'!$C11)</f>
        <v>A</v>
      </c>
      <c r="H21" s="252" t="str">
        <f>IF('Liste des professionnels'!$C12="","",'Liste des professionnels'!$C12)</f>
        <v/>
      </c>
      <c r="I21" s="252" t="str">
        <f>IF('Liste des professionnels'!$C13="","",'Liste des professionnels'!$C13)</f>
        <v/>
      </c>
      <c r="J21" s="252" t="str">
        <f>IF('Liste des professionnels'!$C14="","",'Liste des professionnels'!$C14)</f>
        <v/>
      </c>
      <c r="K21" s="252" t="str">
        <f>IF('Liste des professionnels'!$C15="","",'Liste des professionnels'!$C15)</f>
        <v/>
      </c>
      <c r="L21" s="252" t="str">
        <f>IF('Liste des professionnels'!$C16="","",'Liste des professionnels'!$C16)</f>
        <v/>
      </c>
      <c r="M21" s="252" t="str">
        <f>IF('Liste des professionnels'!$C17="","",'Liste des professionnels'!$C17)</f>
        <v/>
      </c>
      <c r="N21" s="252" t="str">
        <f>IF('Liste des professionnels'!$C18="","",'Liste des professionnels'!$C18)</f>
        <v/>
      </c>
      <c r="O21" s="252" t="str">
        <f>IF('Liste des professionnels'!$C19="","",'Liste des professionnels'!$C19)</f>
        <v/>
      </c>
      <c r="P21" s="252" t="str">
        <f>IF('Liste des professionnels'!$C20="","",'Liste des professionnels'!$C20)</f>
        <v/>
      </c>
      <c r="Q21" s="252" t="str">
        <f>IF('Liste des professionnels'!$C21="","",'Liste des professionnels'!$C21)</f>
        <v/>
      </c>
      <c r="R21" s="252" t="str">
        <f>IF('Liste des professionnels'!$C22="","",'Liste des professionnels'!$C22)</f>
        <v/>
      </c>
      <c r="S21" s="252" t="str">
        <f>IF('Liste des professionnels'!$C23="","",'Liste des professionnels'!$C23)</f>
        <v/>
      </c>
      <c r="T21" s="252" t="str">
        <f>IF('Liste des professionnels'!$C24="","",'Liste des professionnels'!$C24)</f>
        <v/>
      </c>
      <c r="U21" s="252" t="str">
        <f>IF('Liste des professionnels'!$C25="","",'Liste des professionnels'!$C25)</f>
        <v/>
      </c>
      <c r="V21" s="252" t="str">
        <f>IF('Liste des professionnels'!$C26="","",'Liste des professionnels'!$C26)</f>
        <v/>
      </c>
      <c r="W21" s="226"/>
      <c r="X21" s="229" t="s">
        <v>186</v>
      </c>
      <c r="Y21" s="40">
        <f>COUNTA(D21:V21)-COUNTIF(D21:V21,"")</f>
        <v>4</v>
      </c>
    </row>
    <row r="22" spans="1:25" ht="15" customHeight="1">
      <c r="A22" s="222"/>
      <c r="B22" s="223"/>
      <c r="C22" s="177"/>
      <c r="D22" s="256">
        <f>IF('Liste des professionnels'!$F8="","",'Liste des professionnels'!$F8)</f>
        <v>5000</v>
      </c>
      <c r="E22" s="257">
        <f>IF('Liste des professionnels'!$F9="","",'Liste des professionnels'!$F9)</f>
        <v>10000</v>
      </c>
      <c r="F22" s="257">
        <f>IF('Liste des professionnels'!$F10="","",'Liste des professionnels'!$F10)</f>
        <v>10000</v>
      </c>
      <c r="G22" s="257">
        <f>IF('Liste des professionnels'!$F11="","",'Liste des professionnels'!$F11)</f>
        <v>15000</v>
      </c>
      <c r="H22" s="257" t="str">
        <f>IF('Liste des professionnels'!$F12="","",'Liste des professionnels'!$F12)</f>
        <v/>
      </c>
      <c r="I22" s="257" t="str">
        <f>IF('Liste des professionnels'!$F13="","",'Liste des professionnels'!$F13)</f>
        <v/>
      </c>
      <c r="J22" s="257" t="str">
        <f>IF('Liste des professionnels'!$F14="","",'Liste des professionnels'!$F14)</f>
        <v/>
      </c>
      <c r="K22" s="257" t="str">
        <f>IF('Liste des professionnels'!$F15="","",'Liste des professionnels'!$F15)</f>
        <v/>
      </c>
      <c r="L22" s="257" t="str">
        <f>IF('Liste des professionnels'!$F16="","",'Liste des professionnels'!$F16)</f>
        <v/>
      </c>
      <c r="M22" s="257" t="str">
        <f>IF('Liste des professionnels'!$F17="","",'Liste des professionnels'!$F17)</f>
        <v/>
      </c>
      <c r="N22" s="257" t="str">
        <f>IF('Liste des professionnels'!$F18="","",'Liste des professionnels'!$F18)</f>
        <v/>
      </c>
      <c r="O22" s="257" t="str">
        <f>IF('Liste des professionnels'!$F19="","",'Liste des professionnels'!$F19)</f>
        <v/>
      </c>
      <c r="P22" s="257" t="str">
        <f>IF('Liste des professionnels'!$F20="","",'Liste des professionnels'!$F20)</f>
        <v/>
      </c>
      <c r="Q22" s="257" t="str">
        <f>IF('Liste des professionnels'!$F21="","",'Liste des professionnels'!$F21)</f>
        <v/>
      </c>
      <c r="R22" s="257" t="str">
        <f>IF('Liste des professionnels'!$F22="","",'Liste des professionnels'!$F22)</f>
        <v/>
      </c>
      <c r="S22" s="257" t="str">
        <f>IF('Liste des professionnels'!$F23="","",'Liste des professionnels'!$F23)</f>
        <v/>
      </c>
      <c r="T22" s="257" t="str">
        <f>IF('Liste des professionnels'!$F24="","",'Liste des professionnels'!$F24)</f>
        <v/>
      </c>
      <c r="U22" s="257" t="str">
        <f>IF('Liste des professionnels'!$F25="","",'Liste des professionnels'!$F25)</f>
        <v/>
      </c>
      <c r="V22" s="257" t="str">
        <f>IF('Liste des professionnels'!$F26="","",'Liste des professionnels'!$F26)</f>
        <v/>
      </c>
      <c r="W22" s="226"/>
      <c r="X22" s="229"/>
      <c r="Y22" s="40">
        <f>SUM(D22:V22)</f>
        <v>40000</v>
      </c>
    </row>
    <row r="23" spans="1:25" ht="15" customHeight="1">
      <c r="A23" s="403" t="s">
        <v>77</v>
      </c>
      <c r="B23" s="403"/>
      <c r="C23" s="404"/>
      <c r="D23" s="405"/>
      <c r="E23" s="406"/>
      <c r="F23" s="406"/>
      <c r="G23" s="406"/>
      <c r="H23" s="406"/>
      <c r="I23" s="406"/>
      <c r="J23" s="406"/>
      <c r="K23" s="406"/>
      <c r="L23" s="406"/>
      <c r="M23" s="406"/>
      <c r="N23" s="406"/>
      <c r="O23" s="406"/>
      <c r="P23" s="406"/>
      <c r="Q23" s="406"/>
      <c r="R23" s="406"/>
      <c r="S23" s="406"/>
      <c r="T23" s="406"/>
      <c r="U23" s="406"/>
      <c r="V23" s="406"/>
      <c r="W23" s="226"/>
      <c r="X23" s="232"/>
    </row>
    <row r="24" spans="1:25" s="200" customFormat="1">
      <c r="A24" s="209" t="s">
        <v>82</v>
      </c>
      <c r="B24" s="210">
        <f>+'Calcul de la dotation NMR'!F10</f>
        <v>800</v>
      </c>
      <c r="C24" s="258" t="s">
        <v>183</v>
      </c>
      <c r="D24" s="255">
        <f t="shared" ref="D24:V24" si="0">IF(D$22="",0,IF($C24="Egalitaire",$B24/$Y$21,IF($C24="Prorata du nombre de parts",$B24*(D$22/$Y$22),0))+D57)</f>
        <v>200</v>
      </c>
      <c r="E24" s="255">
        <f t="shared" si="0"/>
        <v>200</v>
      </c>
      <c r="F24" s="255">
        <f t="shared" si="0"/>
        <v>200</v>
      </c>
      <c r="G24" s="255">
        <f t="shared" si="0"/>
        <v>200</v>
      </c>
      <c r="H24" s="255">
        <f t="shared" si="0"/>
        <v>0</v>
      </c>
      <c r="I24" s="255">
        <f t="shared" si="0"/>
        <v>0</v>
      </c>
      <c r="J24" s="255">
        <f t="shared" si="0"/>
        <v>0</v>
      </c>
      <c r="K24" s="255">
        <f t="shared" si="0"/>
        <v>0</v>
      </c>
      <c r="L24" s="255">
        <f t="shared" si="0"/>
        <v>0</v>
      </c>
      <c r="M24" s="255">
        <f t="shared" si="0"/>
        <v>0</v>
      </c>
      <c r="N24" s="255">
        <f t="shared" si="0"/>
        <v>0</v>
      </c>
      <c r="O24" s="255">
        <f t="shared" si="0"/>
        <v>0</v>
      </c>
      <c r="P24" s="255">
        <f t="shared" si="0"/>
        <v>0</v>
      </c>
      <c r="Q24" s="255">
        <f t="shared" si="0"/>
        <v>0</v>
      </c>
      <c r="R24" s="255">
        <f t="shared" si="0"/>
        <v>0</v>
      </c>
      <c r="S24" s="255">
        <f t="shared" si="0"/>
        <v>0</v>
      </c>
      <c r="T24" s="255">
        <f t="shared" si="0"/>
        <v>0</v>
      </c>
      <c r="U24" s="255">
        <f t="shared" si="0"/>
        <v>0</v>
      </c>
      <c r="V24" s="255">
        <f t="shared" si="0"/>
        <v>0</v>
      </c>
      <c r="W24" s="227"/>
      <c r="X24" s="240">
        <f>SUM(D24:V24)</f>
        <v>800</v>
      </c>
      <c r="Y24" s="243" t="str">
        <f>IF(X24&lt;&gt;B24,"Anomalie de répartition","")</f>
        <v/>
      </c>
    </row>
    <row r="25" spans="1:25" s="200" customFormat="1">
      <c r="A25" s="212" t="s">
        <v>178</v>
      </c>
      <c r="B25" s="213">
        <f>+'Calcul de la dotation NMR'!F11</f>
        <v>700</v>
      </c>
      <c r="C25" s="259" t="s">
        <v>183</v>
      </c>
      <c r="D25" s="211">
        <f t="shared" ref="D25:V25" si="1">IF(D$22="",0,IF($C25="Egalitaire",$B25/$Y$21,IF($C25="Prorata du nombre de parts",$B25*(D$22/$Y$22),0))+D58)</f>
        <v>175</v>
      </c>
      <c r="E25" s="211">
        <f t="shared" si="1"/>
        <v>175</v>
      </c>
      <c r="F25" s="211">
        <f t="shared" si="1"/>
        <v>175</v>
      </c>
      <c r="G25" s="211">
        <f t="shared" si="1"/>
        <v>175</v>
      </c>
      <c r="H25" s="211">
        <f t="shared" si="1"/>
        <v>0</v>
      </c>
      <c r="I25" s="211">
        <f t="shared" si="1"/>
        <v>0</v>
      </c>
      <c r="J25" s="211">
        <f t="shared" si="1"/>
        <v>0</v>
      </c>
      <c r="K25" s="211">
        <f t="shared" si="1"/>
        <v>0</v>
      </c>
      <c r="L25" s="211">
        <f t="shared" si="1"/>
        <v>0</v>
      </c>
      <c r="M25" s="211">
        <f t="shared" si="1"/>
        <v>0</v>
      </c>
      <c r="N25" s="211">
        <f t="shared" si="1"/>
        <v>0</v>
      </c>
      <c r="O25" s="211">
        <f t="shared" si="1"/>
        <v>0</v>
      </c>
      <c r="P25" s="211">
        <f t="shared" si="1"/>
        <v>0</v>
      </c>
      <c r="Q25" s="211">
        <f t="shared" si="1"/>
        <v>0</v>
      </c>
      <c r="R25" s="211">
        <f t="shared" si="1"/>
        <v>0</v>
      </c>
      <c r="S25" s="211">
        <f t="shared" si="1"/>
        <v>0</v>
      </c>
      <c r="T25" s="211">
        <f t="shared" si="1"/>
        <v>0</v>
      </c>
      <c r="U25" s="211">
        <f t="shared" si="1"/>
        <v>0</v>
      </c>
      <c r="V25" s="211">
        <f t="shared" si="1"/>
        <v>0</v>
      </c>
      <c r="W25" s="227"/>
      <c r="X25" s="240">
        <f t="shared" ref="X25:X28" si="2">SUM(D25:V25)</f>
        <v>700</v>
      </c>
      <c r="Y25" s="243" t="str">
        <f t="shared" ref="Y25:Y26" si="3">IF(X25&lt;&gt;B25,"Anomalie de répartition","")</f>
        <v/>
      </c>
    </row>
    <row r="26" spans="1:25" s="200" customFormat="1">
      <c r="A26" s="215" t="s">
        <v>86</v>
      </c>
      <c r="B26" s="216">
        <f>+'Calcul de la dotation NMR'!F12</f>
        <v>500</v>
      </c>
      <c r="C26" s="260" t="s">
        <v>182</v>
      </c>
      <c r="D26" s="211">
        <f t="shared" ref="D26:V26" si="4">IF(D$22="",0,IF($C26="Egalitaire",$B26/$Y$21,IF($C26="Prorata du nombre de parts",$B26*(D$22/$Y$22),0))+D59)</f>
        <v>62.5</v>
      </c>
      <c r="E26" s="211">
        <f t="shared" si="4"/>
        <v>125</v>
      </c>
      <c r="F26" s="211">
        <f t="shared" si="4"/>
        <v>125</v>
      </c>
      <c r="G26" s="211">
        <f t="shared" si="4"/>
        <v>187.5</v>
      </c>
      <c r="H26" s="211">
        <f t="shared" si="4"/>
        <v>0</v>
      </c>
      <c r="I26" s="211">
        <f t="shared" si="4"/>
        <v>0</v>
      </c>
      <c r="J26" s="211">
        <f t="shared" si="4"/>
        <v>0</v>
      </c>
      <c r="K26" s="211">
        <f t="shared" si="4"/>
        <v>0</v>
      </c>
      <c r="L26" s="211">
        <f t="shared" si="4"/>
        <v>0</v>
      </c>
      <c r="M26" s="211">
        <f t="shared" si="4"/>
        <v>0</v>
      </c>
      <c r="N26" s="211">
        <f t="shared" si="4"/>
        <v>0</v>
      </c>
      <c r="O26" s="211">
        <f t="shared" si="4"/>
        <v>0</v>
      </c>
      <c r="P26" s="211">
        <f t="shared" si="4"/>
        <v>0</v>
      </c>
      <c r="Q26" s="211">
        <f t="shared" si="4"/>
        <v>0</v>
      </c>
      <c r="R26" s="211">
        <f t="shared" si="4"/>
        <v>0</v>
      </c>
      <c r="S26" s="211">
        <f t="shared" si="4"/>
        <v>0</v>
      </c>
      <c r="T26" s="211">
        <f t="shared" si="4"/>
        <v>0</v>
      </c>
      <c r="U26" s="211">
        <f t="shared" si="4"/>
        <v>0</v>
      </c>
      <c r="V26" s="211">
        <f t="shared" si="4"/>
        <v>0</v>
      </c>
      <c r="W26" s="227"/>
      <c r="X26" s="240">
        <f t="shared" si="2"/>
        <v>500</v>
      </c>
      <c r="Y26" s="243" t="str">
        <f t="shared" si="3"/>
        <v/>
      </c>
    </row>
    <row r="27" spans="1:25" s="200" customFormat="1">
      <c r="A27" s="403" t="s">
        <v>93</v>
      </c>
      <c r="B27" s="403"/>
      <c r="C27" s="404"/>
      <c r="D27" s="407"/>
      <c r="E27" s="407"/>
      <c r="F27" s="407"/>
      <c r="G27" s="407"/>
      <c r="H27" s="407"/>
      <c r="I27" s="407"/>
      <c r="J27" s="407"/>
      <c r="K27" s="407"/>
      <c r="L27" s="407"/>
      <c r="M27" s="407"/>
      <c r="N27" s="407"/>
      <c r="O27" s="407"/>
      <c r="P27" s="407"/>
      <c r="Q27" s="407"/>
      <c r="R27" s="407"/>
      <c r="S27" s="407"/>
      <c r="T27" s="407"/>
      <c r="U27" s="407"/>
      <c r="V27" s="407"/>
      <c r="W27" s="227"/>
      <c r="X27" s="241"/>
      <c r="Y27" s="243"/>
    </row>
    <row r="28" spans="1:25" s="200" customFormat="1" ht="15" customHeight="1">
      <c r="A28" s="212" t="s">
        <v>178</v>
      </c>
      <c r="B28" s="210">
        <f>+'Calcul de la dotation NMR'!G17</f>
        <v>3075</v>
      </c>
      <c r="C28" s="260" t="s">
        <v>183</v>
      </c>
      <c r="D28" s="211">
        <f t="shared" ref="D28:V28" si="5">IF(D$22="",0,IF($C28="Egalitaire",$B28/$Y$21,IF($C28="Prorata du nombre de parts",$B28*(D$22/$Y$22),0))+D61)</f>
        <v>768.75</v>
      </c>
      <c r="E28" s="211">
        <f t="shared" si="5"/>
        <v>768.75</v>
      </c>
      <c r="F28" s="211">
        <f t="shared" si="5"/>
        <v>768.75</v>
      </c>
      <c r="G28" s="211">
        <f t="shared" si="5"/>
        <v>768.75</v>
      </c>
      <c r="H28" s="211">
        <f t="shared" si="5"/>
        <v>0</v>
      </c>
      <c r="I28" s="211">
        <f t="shared" si="5"/>
        <v>0</v>
      </c>
      <c r="J28" s="211">
        <f t="shared" si="5"/>
        <v>0</v>
      </c>
      <c r="K28" s="211">
        <f t="shared" si="5"/>
        <v>0</v>
      </c>
      <c r="L28" s="211">
        <f t="shared" si="5"/>
        <v>0</v>
      </c>
      <c r="M28" s="211">
        <f t="shared" si="5"/>
        <v>0</v>
      </c>
      <c r="N28" s="211">
        <f t="shared" si="5"/>
        <v>0</v>
      </c>
      <c r="O28" s="211">
        <f t="shared" si="5"/>
        <v>0</v>
      </c>
      <c r="P28" s="211">
        <f t="shared" si="5"/>
        <v>0</v>
      </c>
      <c r="Q28" s="211">
        <f t="shared" si="5"/>
        <v>0</v>
      </c>
      <c r="R28" s="211">
        <f t="shared" si="5"/>
        <v>0</v>
      </c>
      <c r="S28" s="211">
        <f t="shared" si="5"/>
        <v>0</v>
      </c>
      <c r="T28" s="211">
        <f t="shared" si="5"/>
        <v>0</v>
      </c>
      <c r="U28" s="211">
        <f t="shared" si="5"/>
        <v>0</v>
      </c>
      <c r="V28" s="211">
        <f t="shared" si="5"/>
        <v>0</v>
      </c>
      <c r="W28" s="227"/>
      <c r="X28" s="240">
        <f t="shared" si="2"/>
        <v>3075</v>
      </c>
      <c r="Y28" s="243" t="str">
        <f t="shared" ref="Y28:Y29" si="6">IF(X28&lt;&gt;B28,"Anomalie de répartition","")</f>
        <v/>
      </c>
    </row>
    <row r="29" spans="1:25" s="200" customFormat="1">
      <c r="A29" s="215" t="s">
        <v>86</v>
      </c>
      <c r="B29" s="210">
        <f>+'Calcul de la dotation NMR'!G18</f>
        <v>1800</v>
      </c>
      <c r="C29" s="260" t="s">
        <v>183</v>
      </c>
      <c r="D29" s="211">
        <f t="shared" ref="D29:V29" si="7">IF(D$22="",0,IF($C29="Egalitaire",$B29/$Y$21,IF($C29="Prorata du nombre de parts",$B29*(D$22/$Y$22),0))+D62)</f>
        <v>450</v>
      </c>
      <c r="E29" s="211">
        <f t="shared" si="7"/>
        <v>450</v>
      </c>
      <c r="F29" s="211">
        <f t="shared" si="7"/>
        <v>450</v>
      </c>
      <c r="G29" s="211">
        <f t="shared" si="7"/>
        <v>450</v>
      </c>
      <c r="H29" s="211">
        <f t="shared" si="7"/>
        <v>0</v>
      </c>
      <c r="I29" s="211">
        <f t="shared" si="7"/>
        <v>0</v>
      </c>
      <c r="J29" s="211">
        <f t="shared" si="7"/>
        <v>0</v>
      </c>
      <c r="K29" s="211">
        <f t="shared" si="7"/>
        <v>0</v>
      </c>
      <c r="L29" s="211">
        <f t="shared" si="7"/>
        <v>0</v>
      </c>
      <c r="M29" s="211">
        <f t="shared" si="7"/>
        <v>0</v>
      </c>
      <c r="N29" s="211">
        <f t="shared" si="7"/>
        <v>0</v>
      </c>
      <c r="O29" s="211">
        <f t="shared" si="7"/>
        <v>0</v>
      </c>
      <c r="P29" s="211">
        <f t="shared" si="7"/>
        <v>0</v>
      </c>
      <c r="Q29" s="211">
        <f t="shared" si="7"/>
        <v>0</v>
      </c>
      <c r="R29" s="211">
        <f t="shared" si="7"/>
        <v>0</v>
      </c>
      <c r="S29" s="211">
        <f t="shared" si="7"/>
        <v>0</v>
      </c>
      <c r="T29" s="211">
        <f t="shared" si="7"/>
        <v>0</v>
      </c>
      <c r="U29" s="211">
        <f t="shared" si="7"/>
        <v>0</v>
      </c>
      <c r="V29" s="211">
        <f t="shared" si="7"/>
        <v>0</v>
      </c>
      <c r="W29" s="227"/>
      <c r="X29" s="240">
        <f>SUM(D29:V29)</f>
        <v>1800</v>
      </c>
      <c r="Y29" s="243" t="str">
        <f t="shared" si="6"/>
        <v/>
      </c>
    </row>
    <row r="30" spans="1:25" s="200" customFormat="1">
      <c r="A30" s="403" t="s">
        <v>97</v>
      </c>
      <c r="B30" s="403"/>
      <c r="C30" s="404"/>
      <c r="D30" s="407"/>
      <c r="E30" s="407"/>
      <c r="F30" s="407"/>
      <c r="G30" s="407"/>
      <c r="H30" s="407"/>
      <c r="I30" s="407"/>
      <c r="J30" s="407"/>
      <c r="K30" s="407"/>
      <c r="L30" s="407"/>
      <c r="M30" s="407"/>
      <c r="N30" s="407"/>
      <c r="O30" s="407"/>
      <c r="P30" s="407"/>
      <c r="Q30" s="407"/>
      <c r="R30" s="407"/>
      <c r="S30" s="407"/>
      <c r="T30" s="407"/>
      <c r="U30" s="407"/>
      <c r="V30" s="407"/>
      <c r="W30" s="227"/>
      <c r="X30" s="241"/>
      <c r="Y30" s="243"/>
    </row>
    <row r="31" spans="1:25" s="200" customFormat="1">
      <c r="A31" s="212" t="s">
        <v>101</v>
      </c>
      <c r="B31" s="210">
        <f>+'Calcul de la dotation NMR'!F28</f>
        <v>250</v>
      </c>
      <c r="C31" s="260" t="s">
        <v>183</v>
      </c>
      <c r="D31" s="211">
        <f t="shared" ref="D31:V31" si="8">IF(D$22="",0,IF($C31="Egalitaire",$B31/$Y$21,IF($C31="Prorata du nombre de parts",$B31*(D$22/$Y$22),0))+D64)</f>
        <v>62.5</v>
      </c>
      <c r="E31" s="211">
        <f t="shared" si="8"/>
        <v>62.5</v>
      </c>
      <c r="F31" s="211">
        <f t="shared" si="8"/>
        <v>62.5</v>
      </c>
      <c r="G31" s="211">
        <f t="shared" si="8"/>
        <v>62.5</v>
      </c>
      <c r="H31" s="211">
        <f t="shared" si="8"/>
        <v>0</v>
      </c>
      <c r="I31" s="211">
        <f t="shared" si="8"/>
        <v>0</v>
      </c>
      <c r="J31" s="211">
        <f t="shared" si="8"/>
        <v>0</v>
      </c>
      <c r="K31" s="211">
        <f t="shared" si="8"/>
        <v>0</v>
      </c>
      <c r="L31" s="211">
        <f t="shared" si="8"/>
        <v>0</v>
      </c>
      <c r="M31" s="211">
        <f t="shared" si="8"/>
        <v>0</v>
      </c>
      <c r="N31" s="211">
        <f t="shared" si="8"/>
        <v>0</v>
      </c>
      <c r="O31" s="211">
        <f t="shared" si="8"/>
        <v>0</v>
      </c>
      <c r="P31" s="211">
        <f t="shared" si="8"/>
        <v>0</v>
      </c>
      <c r="Q31" s="211">
        <f t="shared" si="8"/>
        <v>0</v>
      </c>
      <c r="R31" s="211">
        <f t="shared" si="8"/>
        <v>0</v>
      </c>
      <c r="S31" s="211">
        <f t="shared" si="8"/>
        <v>0</v>
      </c>
      <c r="T31" s="211">
        <f t="shared" si="8"/>
        <v>0</v>
      </c>
      <c r="U31" s="211">
        <f t="shared" si="8"/>
        <v>0</v>
      </c>
      <c r="V31" s="211">
        <f t="shared" si="8"/>
        <v>0</v>
      </c>
      <c r="W31" s="227"/>
      <c r="X31" s="240">
        <f t="shared" ref="X31:X38" si="9">SUM(D31:V31)</f>
        <v>250</v>
      </c>
      <c r="Y31" s="243" t="str">
        <f t="shared" ref="Y31:Y38" si="10">IF(X31&lt;&gt;B31,"Anomalie de répartition","")</f>
        <v/>
      </c>
    </row>
    <row r="32" spans="1:25" s="200" customFormat="1">
      <c r="A32" s="212" t="s">
        <v>103</v>
      </c>
      <c r="B32" s="210">
        <f>+'Calcul de la dotation NMR'!F29</f>
        <v>0</v>
      </c>
      <c r="C32" s="260" t="s">
        <v>183</v>
      </c>
      <c r="D32" s="211">
        <f t="shared" ref="D32:V32" si="11">IF(D$22="",0,IF($C32="Egalitaire",$B32/$Y$21,IF($C32="Prorata du nombre de parts",$B32*(D$22/$Y$22),0))+D65)</f>
        <v>0</v>
      </c>
      <c r="E32" s="211">
        <f t="shared" si="11"/>
        <v>0</v>
      </c>
      <c r="F32" s="211">
        <f t="shared" si="11"/>
        <v>0</v>
      </c>
      <c r="G32" s="211">
        <f t="shared" si="11"/>
        <v>0</v>
      </c>
      <c r="H32" s="211">
        <f t="shared" si="11"/>
        <v>0</v>
      </c>
      <c r="I32" s="211">
        <f t="shared" si="11"/>
        <v>0</v>
      </c>
      <c r="J32" s="211">
        <f t="shared" si="11"/>
        <v>0</v>
      </c>
      <c r="K32" s="211">
        <f t="shared" si="11"/>
        <v>0</v>
      </c>
      <c r="L32" s="211">
        <f t="shared" si="11"/>
        <v>0</v>
      </c>
      <c r="M32" s="211">
        <f t="shared" si="11"/>
        <v>0</v>
      </c>
      <c r="N32" s="211">
        <f t="shared" si="11"/>
        <v>0</v>
      </c>
      <c r="O32" s="211">
        <f t="shared" si="11"/>
        <v>0</v>
      </c>
      <c r="P32" s="211">
        <f t="shared" si="11"/>
        <v>0</v>
      </c>
      <c r="Q32" s="211">
        <f t="shared" si="11"/>
        <v>0</v>
      </c>
      <c r="R32" s="211">
        <f t="shared" si="11"/>
        <v>0</v>
      </c>
      <c r="S32" s="211">
        <f t="shared" si="11"/>
        <v>0</v>
      </c>
      <c r="T32" s="211">
        <f t="shared" si="11"/>
        <v>0</v>
      </c>
      <c r="U32" s="211">
        <f t="shared" si="11"/>
        <v>0</v>
      </c>
      <c r="V32" s="211">
        <f t="shared" si="11"/>
        <v>0</v>
      </c>
      <c r="W32" s="227"/>
      <c r="X32" s="240">
        <f t="shared" si="9"/>
        <v>0</v>
      </c>
      <c r="Y32" s="243" t="str">
        <f t="shared" si="10"/>
        <v/>
      </c>
    </row>
    <row r="33" spans="1:25" s="200" customFormat="1">
      <c r="A33" s="212" t="s">
        <v>101</v>
      </c>
      <c r="B33" s="210">
        <f>+'Calcul de la dotation NMR'!F30</f>
        <v>250</v>
      </c>
      <c r="C33" s="260" t="s">
        <v>183</v>
      </c>
      <c r="D33" s="211">
        <f t="shared" ref="D33:V33" si="12">IF(D$22="",0,IF($C33="Egalitaire",$B33/$Y$21,IF($C33="Prorata du nombre de parts",$B33*(D$22/$Y$22),0))+D66)</f>
        <v>62.5</v>
      </c>
      <c r="E33" s="211">
        <f t="shared" si="12"/>
        <v>62.5</v>
      </c>
      <c r="F33" s="211">
        <f t="shared" si="12"/>
        <v>62.5</v>
      </c>
      <c r="G33" s="211">
        <f t="shared" si="12"/>
        <v>62.5</v>
      </c>
      <c r="H33" s="211">
        <f t="shared" si="12"/>
        <v>0</v>
      </c>
      <c r="I33" s="211">
        <f t="shared" si="12"/>
        <v>0</v>
      </c>
      <c r="J33" s="211">
        <f t="shared" si="12"/>
        <v>0</v>
      </c>
      <c r="K33" s="211">
        <f t="shared" si="12"/>
        <v>0</v>
      </c>
      <c r="L33" s="211">
        <f t="shared" si="12"/>
        <v>0</v>
      </c>
      <c r="M33" s="211">
        <f t="shared" si="12"/>
        <v>0</v>
      </c>
      <c r="N33" s="211">
        <f t="shared" si="12"/>
        <v>0</v>
      </c>
      <c r="O33" s="211">
        <f t="shared" si="12"/>
        <v>0</v>
      </c>
      <c r="P33" s="211">
        <f t="shared" si="12"/>
        <v>0</v>
      </c>
      <c r="Q33" s="211">
        <f t="shared" si="12"/>
        <v>0</v>
      </c>
      <c r="R33" s="211">
        <f t="shared" si="12"/>
        <v>0</v>
      </c>
      <c r="S33" s="211">
        <f t="shared" si="12"/>
        <v>0</v>
      </c>
      <c r="T33" s="211">
        <f t="shared" si="12"/>
        <v>0</v>
      </c>
      <c r="U33" s="211">
        <f t="shared" si="12"/>
        <v>0</v>
      </c>
      <c r="V33" s="211">
        <f t="shared" si="12"/>
        <v>0</v>
      </c>
      <c r="W33" s="227"/>
      <c r="X33" s="240">
        <f t="shared" si="9"/>
        <v>250</v>
      </c>
      <c r="Y33" s="243" t="str">
        <f t="shared" si="10"/>
        <v/>
      </c>
    </row>
    <row r="34" spans="1:25" s="200" customFormat="1">
      <c r="A34" s="212" t="s">
        <v>105</v>
      </c>
      <c r="B34" s="210">
        <f>+'Calcul de la dotation NMR'!F31</f>
        <v>0</v>
      </c>
      <c r="C34" s="260" t="s">
        <v>183</v>
      </c>
      <c r="D34" s="211">
        <f t="shared" ref="D34:V34" si="13">IF(D$22="",0,IF($C34="Egalitaire",$B34/$Y$21,IF($C34="Prorata du nombre de parts",$B34*(D$22/$Y$22),0))+D67)</f>
        <v>0</v>
      </c>
      <c r="E34" s="211">
        <f t="shared" si="13"/>
        <v>0</v>
      </c>
      <c r="F34" s="211">
        <f t="shared" si="13"/>
        <v>0</v>
      </c>
      <c r="G34" s="211">
        <f t="shared" si="13"/>
        <v>0</v>
      </c>
      <c r="H34" s="211">
        <f t="shared" si="13"/>
        <v>0</v>
      </c>
      <c r="I34" s="211">
        <f t="shared" si="13"/>
        <v>0</v>
      </c>
      <c r="J34" s="211">
        <f t="shared" si="13"/>
        <v>0</v>
      </c>
      <c r="K34" s="211">
        <f t="shared" si="13"/>
        <v>0</v>
      </c>
      <c r="L34" s="211">
        <f t="shared" si="13"/>
        <v>0</v>
      </c>
      <c r="M34" s="211">
        <f t="shared" si="13"/>
        <v>0</v>
      </c>
      <c r="N34" s="211">
        <f t="shared" si="13"/>
        <v>0</v>
      </c>
      <c r="O34" s="211">
        <f t="shared" si="13"/>
        <v>0</v>
      </c>
      <c r="P34" s="211">
        <f t="shared" si="13"/>
        <v>0</v>
      </c>
      <c r="Q34" s="211">
        <f t="shared" si="13"/>
        <v>0</v>
      </c>
      <c r="R34" s="211">
        <f t="shared" si="13"/>
        <v>0</v>
      </c>
      <c r="S34" s="211">
        <f t="shared" si="13"/>
        <v>0</v>
      </c>
      <c r="T34" s="211">
        <f t="shared" si="13"/>
        <v>0</v>
      </c>
      <c r="U34" s="211">
        <f t="shared" si="13"/>
        <v>0</v>
      </c>
      <c r="V34" s="211">
        <f t="shared" si="13"/>
        <v>0</v>
      </c>
      <c r="W34" s="227"/>
      <c r="X34" s="240">
        <f t="shared" si="9"/>
        <v>0</v>
      </c>
      <c r="Y34" s="243" t="str">
        <f t="shared" si="10"/>
        <v/>
      </c>
    </row>
    <row r="35" spans="1:25" s="200" customFormat="1">
      <c r="A35" s="212" t="s">
        <v>106</v>
      </c>
      <c r="B35" s="210">
        <f>+'Calcul de la dotation NMR'!F32</f>
        <v>200</v>
      </c>
      <c r="C35" s="260" t="s">
        <v>181</v>
      </c>
      <c r="D35" s="211">
        <f t="shared" ref="D35:V35" si="14">IF(D$22="",0,IF($C35="Egalitaire",$B35/$Y$21,IF($C35="Prorata du nombre de parts",$B35*(D$22/$Y$22),0))+D68)</f>
        <v>0</v>
      </c>
      <c r="E35" s="211">
        <f t="shared" si="14"/>
        <v>0</v>
      </c>
      <c r="F35" s="211">
        <f t="shared" si="14"/>
        <v>0</v>
      </c>
      <c r="G35" s="211">
        <f t="shared" si="14"/>
        <v>200</v>
      </c>
      <c r="H35" s="211">
        <f t="shared" si="14"/>
        <v>0</v>
      </c>
      <c r="I35" s="211">
        <f t="shared" si="14"/>
        <v>0</v>
      </c>
      <c r="J35" s="211">
        <f t="shared" si="14"/>
        <v>0</v>
      </c>
      <c r="K35" s="211">
        <f t="shared" si="14"/>
        <v>0</v>
      </c>
      <c r="L35" s="211">
        <f t="shared" si="14"/>
        <v>0</v>
      </c>
      <c r="M35" s="211">
        <f t="shared" si="14"/>
        <v>0</v>
      </c>
      <c r="N35" s="211">
        <f t="shared" si="14"/>
        <v>0</v>
      </c>
      <c r="O35" s="211">
        <f t="shared" si="14"/>
        <v>0</v>
      </c>
      <c r="P35" s="211">
        <f t="shared" si="14"/>
        <v>0</v>
      </c>
      <c r="Q35" s="211">
        <f t="shared" si="14"/>
        <v>0</v>
      </c>
      <c r="R35" s="211">
        <f t="shared" si="14"/>
        <v>0</v>
      </c>
      <c r="S35" s="211">
        <f t="shared" si="14"/>
        <v>0</v>
      </c>
      <c r="T35" s="211">
        <f t="shared" si="14"/>
        <v>0</v>
      </c>
      <c r="U35" s="211">
        <f t="shared" si="14"/>
        <v>0</v>
      </c>
      <c r="V35" s="211">
        <f t="shared" si="14"/>
        <v>0</v>
      </c>
      <c r="W35" s="227"/>
      <c r="X35" s="240">
        <f t="shared" si="9"/>
        <v>200</v>
      </c>
      <c r="Y35" s="243" t="str">
        <f t="shared" si="10"/>
        <v/>
      </c>
    </row>
    <row r="36" spans="1:25" s="200" customFormat="1">
      <c r="A36" s="212" t="s">
        <v>106</v>
      </c>
      <c r="B36" s="210">
        <f>+'Calcul de la dotation NMR'!F33</f>
        <v>100</v>
      </c>
      <c r="C36" s="260" t="s">
        <v>183</v>
      </c>
      <c r="D36" s="211">
        <f t="shared" ref="D36:V36" si="15">IF(D$22="",0,IF($C36="Egalitaire",$B36/$Y$21,IF($C36="Prorata du nombre de parts",$B36*(D$22/$Y$22),0))+D69)</f>
        <v>25</v>
      </c>
      <c r="E36" s="211">
        <f t="shared" si="15"/>
        <v>25</v>
      </c>
      <c r="F36" s="211">
        <f t="shared" si="15"/>
        <v>25</v>
      </c>
      <c r="G36" s="211">
        <f t="shared" si="15"/>
        <v>25</v>
      </c>
      <c r="H36" s="211">
        <f t="shared" si="15"/>
        <v>0</v>
      </c>
      <c r="I36" s="211">
        <f t="shared" si="15"/>
        <v>0</v>
      </c>
      <c r="J36" s="211">
        <f t="shared" si="15"/>
        <v>0</v>
      </c>
      <c r="K36" s="211">
        <f t="shared" si="15"/>
        <v>0</v>
      </c>
      <c r="L36" s="211">
        <f t="shared" si="15"/>
        <v>0</v>
      </c>
      <c r="M36" s="211">
        <f t="shared" si="15"/>
        <v>0</v>
      </c>
      <c r="N36" s="211">
        <f t="shared" si="15"/>
        <v>0</v>
      </c>
      <c r="O36" s="211">
        <f t="shared" si="15"/>
        <v>0</v>
      </c>
      <c r="P36" s="211">
        <f t="shared" si="15"/>
        <v>0</v>
      </c>
      <c r="Q36" s="211">
        <f t="shared" si="15"/>
        <v>0</v>
      </c>
      <c r="R36" s="211">
        <f t="shared" si="15"/>
        <v>0</v>
      </c>
      <c r="S36" s="211">
        <f t="shared" si="15"/>
        <v>0</v>
      </c>
      <c r="T36" s="211">
        <f t="shared" si="15"/>
        <v>0</v>
      </c>
      <c r="U36" s="211">
        <f t="shared" si="15"/>
        <v>0</v>
      </c>
      <c r="V36" s="211">
        <f t="shared" si="15"/>
        <v>0</v>
      </c>
      <c r="W36" s="227"/>
      <c r="X36" s="240">
        <f t="shared" si="9"/>
        <v>100</v>
      </c>
      <c r="Y36" s="243" t="str">
        <f t="shared" si="10"/>
        <v/>
      </c>
    </row>
    <row r="37" spans="1:25" s="200" customFormat="1">
      <c r="A37" s="212" t="s">
        <v>84</v>
      </c>
      <c r="B37" s="210">
        <f>+'Calcul de la dotation NMR'!F34</f>
        <v>450</v>
      </c>
      <c r="C37" s="260" t="s">
        <v>183</v>
      </c>
      <c r="D37" s="211">
        <f t="shared" ref="D37:V37" si="16">IF(D$22="",0,IF($C37="Egalitaire",$B37/$Y$21,IF($C37="Prorata du nombre de parts",$B37*(D$22/$Y$22),0))+D70)</f>
        <v>112.5</v>
      </c>
      <c r="E37" s="211">
        <f t="shared" si="16"/>
        <v>112.5</v>
      </c>
      <c r="F37" s="211">
        <f t="shared" si="16"/>
        <v>112.5</v>
      </c>
      <c r="G37" s="211">
        <f t="shared" si="16"/>
        <v>112.5</v>
      </c>
      <c r="H37" s="211">
        <f t="shared" si="16"/>
        <v>0</v>
      </c>
      <c r="I37" s="211">
        <f t="shared" si="16"/>
        <v>0</v>
      </c>
      <c r="J37" s="211">
        <f t="shared" si="16"/>
        <v>0</v>
      </c>
      <c r="K37" s="211">
        <f t="shared" si="16"/>
        <v>0</v>
      </c>
      <c r="L37" s="211">
        <f t="shared" si="16"/>
        <v>0</v>
      </c>
      <c r="M37" s="211">
        <f t="shared" si="16"/>
        <v>0</v>
      </c>
      <c r="N37" s="211">
        <f t="shared" si="16"/>
        <v>0</v>
      </c>
      <c r="O37" s="211">
        <f t="shared" si="16"/>
        <v>0</v>
      </c>
      <c r="P37" s="211">
        <f t="shared" si="16"/>
        <v>0</v>
      </c>
      <c r="Q37" s="211">
        <f t="shared" si="16"/>
        <v>0</v>
      </c>
      <c r="R37" s="211">
        <f t="shared" si="16"/>
        <v>0</v>
      </c>
      <c r="S37" s="211">
        <f t="shared" si="16"/>
        <v>0</v>
      </c>
      <c r="T37" s="211">
        <f t="shared" si="16"/>
        <v>0</v>
      </c>
      <c r="U37" s="211">
        <f t="shared" si="16"/>
        <v>0</v>
      </c>
      <c r="V37" s="211">
        <f t="shared" si="16"/>
        <v>0</v>
      </c>
      <c r="W37" s="227"/>
      <c r="X37" s="240">
        <f t="shared" si="9"/>
        <v>450</v>
      </c>
      <c r="Y37" s="243" t="str">
        <f t="shared" si="10"/>
        <v/>
      </c>
    </row>
    <row r="38" spans="1:25" s="200" customFormat="1">
      <c r="A38" s="212" t="s">
        <v>86</v>
      </c>
      <c r="B38" s="210">
        <f>+'Calcul de la dotation NMR'!F35</f>
        <v>100</v>
      </c>
      <c r="C38" s="260" t="s">
        <v>183</v>
      </c>
      <c r="D38" s="211">
        <f t="shared" ref="D38:V38" si="17">IF(D$22="",0,IF($C38="Egalitaire",$B38/$Y$21,IF($C38="Prorata du nombre de parts",$B38*(D$22/$Y$22),0))+D71)</f>
        <v>25</v>
      </c>
      <c r="E38" s="211">
        <f t="shared" si="17"/>
        <v>25</v>
      </c>
      <c r="F38" s="211">
        <f t="shared" si="17"/>
        <v>25</v>
      </c>
      <c r="G38" s="211">
        <f t="shared" si="17"/>
        <v>25</v>
      </c>
      <c r="H38" s="211">
        <f t="shared" si="17"/>
        <v>0</v>
      </c>
      <c r="I38" s="211">
        <f t="shared" si="17"/>
        <v>0</v>
      </c>
      <c r="J38" s="211">
        <f t="shared" si="17"/>
        <v>0</v>
      </c>
      <c r="K38" s="211">
        <f t="shared" si="17"/>
        <v>0</v>
      </c>
      <c r="L38" s="211">
        <f t="shared" si="17"/>
        <v>0</v>
      </c>
      <c r="M38" s="211">
        <f t="shared" si="17"/>
        <v>0</v>
      </c>
      <c r="N38" s="211">
        <f t="shared" si="17"/>
        <v>0</v>
      </c>
      <c r="O38" s="211">
        <f t="shared" si="17"/>
        <v>0</v>
      </c>
      <c r="P38" s="211">
        <f t="shared" si="17"/>
        <v>0</v>
      </c>
      <c r="Q38" s="211">
        <f t="shared" si="17"/>
        <v>0</v>
      </c>
      <c r="R38" s="211">
        <f t="shared" si="17"/>
        <v>0</v>
      </c>
      <c r="S38" s="211">
        <f t="shared" si="17"/>
        <v>0</v>
      </c>
      <c r="T38" s="211">
        <f t="shared" si="17"/>
        <v>0</v>
      </c>
      <c r="U38" s="211">
        <f t="shared" si="17"/>
        <v>0</v>
      </c>
      <c r="V38" s="211">
        <f t="shared" si="17"/>
        <v>0</v>
      </c>
      <c r="W38" s="227"/>
      <c r="X38" s="240">
        <f t="shared" si="9"/>
        <v>100</v>
      </c>
      <c r="Y38" s="243" t="str">
        <f t="shared" si="10"/>
        <v/>
      </c>
    </row>
    <row r="39" spans="1:25" s="200" customFormat="1">
      <c r="A39" s="403" t="s">
        <v>113</v>
      </c>
      <c r="B39" s="403"/>
      <c r="C39" s="404"/>
      <c r="D39" s="407"/>
      <c r="E39" s="407"/>
      <c r="F39" s="407"/>
      <c r="G39" s="407"/>
      <c r="H39" s="407"/>
      <c r="I39" s="407"/>
      <c r="J39" s="407"/>
      <c r="K39" s="407"/>
      <c r="L39" s="407"/>
      <c r="M39" s="407"/>
      <c r="N39" s="407"/>
      <c r="O39" s="407"/>
      <c r="P39" s="407"/>
      <c r="Q39" s="407"/>
      <c r="R39" s="407"/>
      <c r="S39" s="407"/>
      <c r="T39" s="407"/>
      <c r="U39" s="407"/>
      <c r="V39" s="407"/>
      <c r="W39" s="227"/>
      <c r="X39" s="241"/>
      <c r="Y39" s="243"/>
    </row>
    <row r="40" spans="1:25" s="200" customFormat="1">
      <c r="A40" s="219" t="s">
        <v>106</v>
      </c>
      <c r="B40" s="220">
        <f>+'Calcul de la dotation NMR'!F40</f>
        <v>700</v>
      </c>
      <c r="C40" s="268" t="s">
        <v>183</v>
      </c>
      <c r="D40" s="238">
        <f>IF(D$22="",0,IF($C40="Egalitaire",$B40/$Y$21,IF($C40="Prorata du nombre de parts",$B40*(D$22/$Y$22),0))+D73)</f>
        <v>175</v>
      </c>
      <c r="E40" s="238">
        <f t="shared" ref="E40:V40" si="18">IF(E$22="",0,IF($C40="Egalitaire",$B40/$Y$21,IF($C40="Prorata du nombre de parts",$B40*(E$22/$Y$22),0))+E73)</f>
        <v>175</v>
      </c>
      <c r="F40" s="238">
        <f t="shared" si="18"/>
        <v>175</v>
      </c>
      <c r="G40" s="238">
        <f t="shared" si="18"/>
        <v>175</v>
      </c>
      <c r="H40" s="238">
        <f t="shared" si="18"/>
        <v>0</v>
      </c>
      <c r="I40" s="238">
        <f t="shared" si="18"/>
        <v>0</v>
      </c>
      <c r="J40" s="238">
        <f t="shared" si="18"/>
        <v>0</v>
      </c>
      <c r="K40" s="238">
        <f t="shared" si="18"/>
        <v>0</v>
      </c>
      <c r="L40" s="238">
        <f t="shared" si="18"/>
        <v>0</v>
      </c>
      <c r="M40" s="238">
        <f t="shared" si="18"/>
        <v>0</v>
      </c>
      <c r="N40" s="238">
        <f t="shared" si="18"/>
        <v>0</v>
      </c>
      <c r="O40" s="238">
        <f t="shared" si="18"/>
        <v>0</v>
      </c>
      <c r="P40" s="238">
        <f t="shared" si="18"/>
        <v>0</v>
      </c>
      <c r="Q40" s="238">
        <f t="shared" si="18"/>
        <v>0</v>
      </c>
      <c r="R40" s="238">
        <f t="shared" si="18"/>
        <v>0</v>
      </c>
      <c r="S40" s="238">
        <f t="shared" si="18"/>
        <v>0</v>
      </c>
      <c r="T40" s="238">
        <f t="shared" si="18"/>
        <v>0</v>
      </c>
      <c r="U40" s="238">
        <f t="shared" si="18"/>
        <v>0</v>
      </c>
      <c r="V40" s="238">
        <f t="shared" si="18"/>
        <v>0</v>
      </c>
      <c r="W40" s="228"/>
      <c r="X40" s="240">
        <f>SUM(D40:V40)</f>
        <v>700</v>
      </c>
      <c r="Y40" s="243" t="str">
        <f>IF(X40&lt;&gt;B40,"Anomalie de répartition","")</f>
        <v/>
      </c>
    </row>
    <row r="41" spans="1:25" s="200" customFormat="1">
      <c r="A41" s="203"/>
      <c r="B41" s="204"/>
      <c r="C41" s="201"/>
      <c r="D41" s="201"/>
      <c r="E41" s="201"/>
      <c r="F41" s="202"/>
      <c r="G41" s="202"/>
      <c r="H41" s="202"/>
      <c r="I41" s="199"/>
      <c r="J41" s="199"/>
      <c r="K41" s="199"/>
      <c r="L41" s="199"/>
      <c r="M41" s="199"/>
      <c r="N41" s="199"/>
      <c r="X41" s="198"/>
    </row>
    <row r="42" spans="1:25" s="200" customFormat="1">
      <c r="A42" s="234" t="s">
        <v>187</v>
      </c>
      <c r="B42" s="233">
        <f>SUM(B24:B26)+SUM(B28:B29)+SUM(B31:B38)+B40</f>
        <v>8925</v>
      </c>
      <c r="C42" s="210"/>
      <c r="D42" s="248">
        <f>IF(D21="","",SUM(D24:D26)+SUM(D28:D29)+SUM(D31:D38)+D40)</f>
        <v>2118.75</v>
      </c>
      <c r="E42" s="248">
        <f t="shared" ref="E42:V42" si="19">IF(E21="","",SUM(E24:E26)+SUM(E28:E29)+SUM(E31:E38)+E40)</f>
        <v>2181.25</v>
      </c>
      <c r="F42" s="248">
        <f t="shared" si="19"/>
        <v>2181.25</v>
      </c>
      <c r="G42" s="248">
        <f t="shared" si="19"/>
        <v>2443.75</v>
      </c>
      <c r="H42" s="248" t="str">
        <f t="shared" si="19"/>
        <v/>
      </c>
      <c r="I42" s="248" t="str">
        <f t="shared" si="19"/>
        <v/>
      </c>
      <c r="J42" s="248" t="str">
        <f t="shared" si="19"/>
        <v/>
      </c>
      <c r="K42" s="248" t="str">
        <f t="shared" si="19"/>
        <v/>
      </c>
      <c r="L42" s="248" t="str">
        <f t="shared" si="19"/>
        <v/>
      </c>
      <c r="M42" s="248" t="str">
        <f t="shared" si="19"/>
        <v/>
      </c>
      <c r="N42" s="248" t="str">
        <f t="shared" si="19"/>
        <v/>
      </c>
      <c r="O42" s="248" t="str">
        <f t="shared" si="19"/>
        <v/>
      </c>
      <c r="P42" s="248" t="str">
        <f t="shared" si="19"/>
        <v/>
      </c>
      <c r="Q42" s="248" t="str">
        <f t="shared" si="19"/>
        <v/>
      </c>
      <c r="R42" s="248" t="str">
        <f t="shared" si="19"/>
        <v/>
      </c>
      <c r="S42" s="248" t="str">
        <f t="shared" si="19"/>
        <v/>
      </c>
      <c r="T42" s="248" t="str">
        <f t="shared" si="19"/>
        <v/>
      </c>
      <c r="U42" s="248" t="str">
        <f t="shared" si="19"/>
        <v/>
      </c>
      <c r="V42" s="248" t="str">
        <f t="shared" si="19"/>
        <v/>
      </c>
      <c r="W42" s="245"/>
      <c r="X42" s="207"/>
    </row>
    <row r="43" spans="1:25" s="200" customFormat="1">
      <c r="A43" s="205"/>
      <c r="B43" s="204"/>
      <c r="C43" s="201"/>
      <c r="D43" s="249"/>
      <c r="E43" s="249"/>
      <c r="F43" s="206"/>
      <c r="G43" s="206"/>
      <c r="H43" s="206"/>
      <c r="I43" s="134"/>
      <c r="J43" s="134"/>
      <c r="K43" s="134"/>
      <c r="L43" s="134"/>
      <c r="M43" s="134"/>
      <c r="N43" s="134"/>
      <c r="O43" s="17"/>
      <c r="P43" s="17"/>
      <c r="Q43" s="17"/>
      <c r="R43" s="17"/>
      <c r="S43" s="17"/>
      <c r="T43" s="17"/>
      <c r="U43" s="17"/>
      <c r="V43" s="17"/>
      <c r="X43" s="199"/>
    </row>
    <row r="44" spans="1:25" s="200" customFormat="1">
      <c r="A44" s="234" t="s">
        <v>199</v>
      </c>
      <c r="B44" s="244">
        <v>7</v>
      </c>
      <c r="C44" s="206"/>
      <c r="D44" s="246">
        <f>IF(D21="","",D42*$B$44)</f>
        <v>14831.25</v>
      </c>
      <c r="E44" s="246">
        <f t="shared" ref="E44:V44" si="20">IF(E21="","",E42*$B$44)</f>
        <v>15268.75</v>
      </c>
      <c r="F44" s="246">
        <f t="shared" si="20"/>
        <v>15268.75</v>
      </c>
      <c r="G44" s="246">
        <f t="shared" si="20"/>
        <v>17106.25</v>
      </c>
      <c r="H44" s="246" t="str">
        <f t="shared" si="20"/>
        <v/>
      </c>
      <c r="I44" s="246" t="str">
        <f t="shared" si="20"/>
        <v/>
      </c>
      <c r="J44" s="246" t="str">
        <f t="shared" si="20"/>
        <v/>
      </c>
      <c r="K44" s="246" t="str">
        <f t="shared" si="20"/>
        <v/>
      </c>
      <c r="L44" s="246" t="str">
        <f t="shared" si="20"/>
        <v/>
      </c>
      <c r="M44" s="246" t="str">
        <f t="shared" si="20"/>
        <v/>
      </c>
      <c r="N44" s="246" t="str">
        <f t="shared" si="20"/>
        <v/>
      </c>
      <c r="O44" s="246" t="str">
        <f t="shared" si="20"/>
        <v/>
      </c>
      <c r="P44" s="246" t="str">
        <f t="shared" si="20"/>
        <v/>
      </c>
      <c r="Q44" s="246" t="str">
        <f t="shared" si="20"/>
        <v/>
      </c>
      <c r="R44" s="246" t="str">
        <f t="shared" si="20"/>
        <v/>
      </c>
      <c r="S44" s="246" t="str">
        <f t="shared" si="20"/>
        <v/>
      </c>
      <c r="T44" s="246" t="str">
        <f t="shared" si="20"/>
        <v/>
      </c>
      <c r="U44" s="246" t="str">
        <f t="shared" si="20"/>
        <v/>
      </c>
      <c r="V44" s="246" t="str">
        <f t="shared" si="20"/>
        <v/>
      </c>
      <c r="X44" s="199"/>
    </row>
    <row r="45" spans="1:25" s="200" customFormat="1">
      <c r="A45" s="278" t="s">
        <v>205</v>
      </c>
      <c r="B45" s="279">
        <f>+B44*B42</f>
        <v>62475</v>
      </c>
      <c r="C45" s="199"/>
      <c r="D45" s="199"/>
      <c r="E45" s="199"/>
      <c r="F45" s="199"/>
      <c r="G45" s="199"/>
      <c r="H45" s="199"/>
      <c r="I45" s="199"/>
      <c r="J45" s="199"/>
      <c r="K45" s="199"/>
      <c r="L45" s="199"/>
      <c r="M45" s="199"/>
      <c r="N45" s="199"/>
    </row>
    <row r="46" spans="1:25" s="200" customFormat="1">
      <c r="A46" s="199"/>
      <c r="B46" s="199"/>
      <c r="C46" s="199"/>
      <c r="D46" s="199"/>
      <c r="E46" s="199"/>
      <c r="F46" s="199"/>
      <c r="G46" s="199"/>
      <c r="H46" s="199"/>
      <c r="I46" s="199"/>
      <c r="J46" s="199"/>
      <c r="K46" s="199"/>
      <c r="L46" s="199"/>
      <c r="M46" s="199"/>
      <c r="N46" s="199"/>
    </row>
    <row r="47" spans="1:25" s="200" customFormat="1">
      <c r="A47" s="234" t="s">
        <v>206</v>
      </c>
      <c r="B47" s="244">
        <f>+(C16/B45)*B44</f>
        <v>0.96190476190476182</v>
      </c>
      <c r="C47" s="199"/>
      <c r="D47" s="246">
        <f>IF(D21="","",$B$47*D42)</f>
        <v>2038.035714285714</v>
      </c>
      <c r="E47" s="246">
        <f t="shared" ref="E47:V47" si="21">IF(E21="","",$B$47*E42)</f>
        <v>2098.1547619047619</v>
      </c>
      <c r="F47" s="246">
        <f t="shared" si="21"/>
        <v>2098.1547619047619</v>
      </c>
      <c r="G47" s="246">
        <f t="shared" si="21"/>
        <v>2350.6547619047615</v>
      </c>
      <c r="H47" s="246" t="str">
        <f t="shared" si="21"/>
        <v/>
      </c>
      <c r="I47" s="246" t="str">
        <f t="shared" si="21"/>
        <v/>
      </c>
      <c r="J47" s="246" t="str">
        <f t="shared" si="21"/>
        <v/>
      </c>
      <c r="K47" s="246" t="str">
        <f t="shared" si="21"/>
        <v/>
      </c>
      <c r="L47" s="246" t="str">
        <f t="shared" si="21"/>
        <v/>
      </c>
      <c r="M47" s="246" t="str">
        <f t="shared" si="21"/>
        <v/>
      </c>
      <c r="N47" s="246" t="str">
        <f t="shared" si="21"/>
        <v/>
      </c>
      <c r="O47" s="246" t="str">
        <f t="shared" si="21"/>
        <v/>
      </c>
      <c r="P47" s="246" t="str">
        <f t="shared" si="21"/>
        <v/>
      </c>
      <c r="Q47" s="246" t="str">
        <f t="shared" si="21"/>
        <v/>
      </c>
      <c r="R47" s="246" t="str">
        <f t="shared" si="21"/>
        <v/>
      </c>
      <c r="S47" s="246" t="str">
        <f t="shared" si="21"/>
        <v/>
      </c>
      <c r="T47" s="246" t="str">
        <f t="shared" si="21"/>
        <v/>
      </c>
      <c r="U47" s="246" t="str">
        <f t="shared" si="21"/>
        <v/>
      </c>
      <c r="V47" s="246" t="str">
        <f t="shared" si="21"/>
        <v/>
      </c>
    </row>
    <row r="48" spans="1:25" s="200" customFormat="1">
      <c r="A48" s="199"/>
      <c r="B48" s="199"/>
      <c r="C48" s="199"/>
      <c r="D48" s="199"/>
      <c r="E48" s="199"/>
      <c r="F48" s="199"/>
      <c r="G48" s="199"/>
      <c r="H48" s="199"/>
      <c r="I48" s="199"/>
      <c r="J48" s="199"/>
      <c r="K48" s="199"/>
      <c r="L48" s="199"/>
      <c r="M48" s="199"/>
      <c r="N48" s="199"/>
    </row>
    <row r="49" spans="1:25" s="200" customFormat="1">
      <c r="A49" s="280" t="s">
        <v>207</v>
      </c>
      <c r="B49" s="281">
        <v>0.96</v>
      </c>
      <c r="C49" s="199"/>
      <c r="D49" s="282">
        <f>IF(D21="","",$B$49*D42)</f>
        <v>2034</v>
      </c>
      <c r="E49" s="282">
        <f t="shared" ref="E49:V49" si="22">IF(E21="","",$B$49*E42)</f>
        <v>2094</v>
      </c>
      <c r="F49" s="282">
        <f t="shared" si="22"/>
        <v>2094</v>
      </c>
      <c r="G49" s="282">
        <f t="shared" si="22"/>
        <v>2346</v>
      </c>
      <c r="H49" s="282" t="str">
        <f t="shared" si="22"/>
        <v/>
      </c>
      <c r="I49" s="282" t="str">
        <f t="shared" si="22"/>
        <v/>
      </c>
      <c r="J49" s="282" t="str">
        <f t="shared" si="22"/>
        <v/>
      </c>
      <c r="K49" s="282" t="str">
        <f t="shared" si="22"/>
        <v/>
      </c>
      <c r="L49" s="282" t="str">
        <f t="shared" si="22"/>
        <v/>
      </c>
      <c r="M49" s="282" t="str">
        <f t="shared" si="22"/>
        <v/>
      </c>
      <c r="N49" s="282" t="str">
        <f t="shared" si="22"/>
        <v/>
      </c>
      <c r="O49" s="282" t="str">
        <f t="shared" si="22"/>
        <v/>
      </c>
      <c r="P49" s="282" t="str">
        <f t="shared" si="22"/>
        <v/>
      </c>
      <c r="Q49" s="282" t="str">
        <f t="shared" si="22"/>
        <v/>
      </c>
      <c r="R49" s="282" t="str">
        <f t="shared" si="22"/>
        <v/>
      </c>
      <c r="S49" s="282" t="str">
        <f t="shared" si="22"/>
        <v/>
      </c>
      <c r="T49" s="282" t="str">
        <f t="shared" si="22"/>
        <v/>
      </c>
      <c r="U49" s="282" t="str">
        <f t="shared" si="22"/>
        <v/>
      </c>
      <c r="V49" s="282" t="str">
        <f t="shared" si="22"/>
        <v/>
      </c>
    </row>
    <row r="50" spans="1:25" s="200" customFormat="1">
      <c r="A50" s="247"/>
      <c r="B50" s="141" t="str">
        <f>IF(B49&lt;=B47,"","La valeur du point ne peut être supérieur à la valeur du point ajusté, la SISA risquerait d'être en perte")</f>
        <v/>
      </c>
      <c r="C50" s="199"/>
      <c r="D50" s="199"/>
      <c r="E50" s="199"/>
      <c r="F50" s="199"/>
      <c r="G50" s="199"/>
      <c r="H50" s="199"/>
      <c r="I50" s="199"/>
      <c r="J50" s="199"/>
      <c r="K50" s="199"/>
      <c r="L50" s="199"/>
      <c r="M50" s="199"/>
      <c r="N50" s="199"/>
    </row>
    <row r="51" spans="1:25" s="200" customFormat="1">
      <c r="A51" s="199"/>
      <c r="B51" s="199"/>
      <c r="C51" s="199"/>
      <c r="D51" s="199"/>
      <c r="E51" s="199"/>
      <c r="F51" s="199"/>
      <c r="G51" s="199"/>
      <c r="H51" s="199"/>
      <c r="I51" s="199"/>
      <c r="J51" s="199"/>
      <c r="K51" s="199"/>
      <c r="L51" s="199"/>
      <c r="M51" s="199"/>
      <c r="N51" s="199"/>
      <c r="O51" s="224"/>
      <c r="P51" s="224"/>
      <c r="Q51" s="224"/>
      <c r="R51" s="224"/>
      <c r="S51" s="224"/>
      <c r="T51" s="224"/>
      <c r="U51" s="224"/>
      <c r="V51" s="224"/>
      <c r="W51" s="224"/>
      <c r="X51" s="224"/>
    </row>
    <row r="52" spans="1:25" s="200" customFormat="1">
      <c r="A52" s="20"/>
      <c r="B52" s="20"/>
      <c r="C52" s="20"/>
      <c r="D52" s="20"/>
      <c r="E52" s="20"/>
      <c r="F52" s="20"/>
      <c r="G52" s="20"/>
      <c r="H52" s="20"/>
      <c r="I52" s="20"/>
      <c r="J52" s="20"/>
      <c r="K52" s="20"/>
      <c r="L52" s="20"/>
      <c r="M52" s="20"/>
      <c r="N52" s="20"/>
      <c r="O52"/>
      <c r="P52"/>
      <c r="Q52"/>
      <c r="R52"/>
      <c r="S52"/>
      <c r="T52"/>
      <c r="U52"/>
      <c r="V52"/>
      <c r="W52" s="224"/>
      <c r="X52" s="224"/>
    </row>
    <row r="53" spans="1:25" s="200" customFormat="1">
      <c r="A53" s="20"/>
      <c r="B53" s="20"/>
      <c r="C53" s="20"/>
      <c r="D53" s="400" t="s">
        <v>190</v>
      </c>
      <c r="E53" s="401"/>
      <c r="F53" s="401"/>
      <c r="G53" s="401"/>
      <c r="H53" s="401"/>
      <c r="I53" s="401"/>
      <c r="J53" s="401"/>
      <c r="K53" s="401"/>
      <c r="L53" s="401"/>
      <c r="M53" s="401"/>
      <c r="N53" s="401"/>
      <c r="O53" s="401"/>
      <c r="P53" s="401"/>
      <c r="Q53" s="401"/>
      <c r="R53" s="401"/>
      <c r="S53" s="401"/>
      <c r="T53" s="401"/>
      <c r="U53" s="401"/>
      <c r="V53" s="402"/>
      <c r="W53" s="225"/>
      <c r="X53" s="253"/>
    </row>
    <row r="54" spans="1:25" s="200" customFormat="1">
      <c r="A54" s="222" t="s">
        <v>176</v>
      </c>
      <c r="B54" s="223" t="s">
        <v>177</v>
      </c>
      <c r="C54" s="177" t="s">
        <v>179</v>
      </c>
      <c r="D54" s="256" t="str">
        <f>+D21</f>
        <v>A</v>
      </c>
      <c r="E54" s="257" t="str">
        <f>+E21</f>
        <v>A</v>
      </c>
      <c r="F54" s="257" t="str">
        <f t="shared" ref="F54:V54" si="23">+F21</f>
        <v>A</v>
      </c>
      <c r="G54" s="257" t="str">
        <f t="shared" si="23"/>
        <v>A</v>
      </c>
      <c r="H54" s="257" t="str">
        <f t="shared" si="23"/>
        <v/>
      </c>
      <c r="I54" s="257" t="str">
        <f t="shared" si="23"/>
        <v/>
      </c>
      <c r="J54" s="257" t="str">
        <f t="shared" si="23"/>
        <v/>
      </c>
      <c r="K54" s="257" t="str">
        <f t="shared" si="23"/>
        <v/>
      </c>
      <c r="L54" s="257" t="str">
        <f t="shared" si="23"/>
        <v/>
      </c>
      <c r="M54" s="257" t="str">
        <f t="shared" si="23"/>
        <v/>
      </c>
      <c r="N54" s="257" t="str">
        <f t="shared" si="23"/>
        <v/>
      </c>
      <c r="O54" s="257" t="str">
        <f t="shared" si="23"/>
        <v/>
      </c>
      <c r="P54" s="257" t="str">
        <f t="shared" si="23"/>
        <v/>
      </c>
      <c r="Q54" s="257" t="str">
        <f t="shared" si="23"/>
        <v/>
      </c>
      <c r="R54" s="257" t="str">
        <f t="shared" si="23"/>
        <v/>
      </c>
      <c r="S54" s="257" t="str">
        <f t="shared" si="23"/>
        <v/>
      </c>
      <c r="T54" s="257" t="str">
        <f t="shared" si="23"/>
        <v/>
      </c>
      <c r="U54" s="257" t="str">
        <f t="shared" si="23"/>
        <v/>
      </c>
      <c r="V54" s="257" t="str">
        <f t="shared" si="23"/>
        <v/>
      </c>
      <c r="W54" s="226"/>
      <c r="X54" s="229" t="s">
        <v>186</v>
      </c>
    </row>
    <row r="55" spans="1:25" s="200" customFormat="1" hidden="1">
      <c r="A55" s="222"/>
      <c r="B55" s="223"/>
      <c r="C55" s="177"/>
      <c r="D55" s="251" t="str">
        <f>IF('Liste des professionnels'!$F39="","",'Liste des professionnels'!$F39)</f>
        <v/>
      </c>
      <c r="E55" s="251" t="str">
        <f>IF('Liste des professionnels'!$F40="","",'Liste des professionnels'!$F40)</f>
        <v/>
      </c>
      <c r="F55" s="251" t="str">
        <f>IF('Liste des professionnels'!$F41="","",'Liste des professionnels'!$F41)</f>
        <v/>
      </c>
      <c r="G55" s="251" t="str">
        <f>IF('Liste des professionnels'!$F42="","",'Liste des professionnels'!$F42)</f>
        <v/>
      </c>
      <c r="H55" s="251" t="str">
        <f>IF('Liste des professionnels'!$F43="","",'Liste des professionnels'!$F43)</f>
        <v/>
      </c>
      <c r="I55" s="251" t="str">
        <f>IF('Liste des professionnels'!$F44="","",'Liste des professionnels'!$F44)</f>
        <v/>
      </c>
      <c r="J55" s="251" t="str">
        <f>IF('Liste des professionnels'!$F45="","",'Liste des professionnels'!$F45)</f>
        <v/>
      </c>
      <c r="K55" s="251" t="str">
        <f>IF('Liste des professionnels'!$F46="","",'Liste des professionnels'!$F46)</f>
        <v/>
      </c>
      <c r="L55" s="251" t="str">
        <f>IF('Liste des professionnels'!$F47="","",'Liste des professionnels'!$F47)</f>
        <v/>
      </c>
      <c r="M55" s="251" t="str">
        <f>IF('Liste des professionnels'!$F48="","",'Liste des professionnels'!$F48)</f>
        <v/>
      </c>
      <c r="N55" s="251" t="str">
        <f>IF('Liste des professionnels'!$F49="","",'Liste des professionnels'!$F49)</f>
        <v/>
      </c>
      <c r="O55" s="251" t="str">
        <f>IF('Liste des professionnels'!$F50="","",'Liste des professionnels'!$F50)</f>
        <v/>
      </c>
      <c r="P55" s="251" t="str">
        <f>IF('Liste des professionnels'!$F51="","",'Liste des professionnels'!$F51)</f>
        <v/>
      </c>
      <c r="Q55" s="251" t="str">
        <f>IF('Liste des professionnels'!$F52="","",'Liste des professionnels'!$F52)</f>
        <v/>
      </c>
      <c r="R55" s="251" t="str">
        <f>IF('Liste des professionnels'!$F53="","",'Liste des professionnels'!$F53)</f>
        <v/>
      </c>
      <c r="S55" s="251" t="str">
        <f>IF('Liste des professionnels'!$F54="","",'Liste des professionnels'!$F54)</f>
        <v/>
      </c>
      <c r="T55" s="251" t="str">
        <f>IF('Liste des professionnels'!$F55="","",'Liste des professionnels'!$F55)</f>
        <v/>
      </c>
      <c r="U55" s="251" t="str">
        <f>IF('Liste des professionnels'!$F56="","",'Liste des professionnels'!$F56)</f>
        <v/>
      </c>
      <c r="V55" s="251" t="str">
        <f>IF('Liste des professionnels'!$F57="","",'Liste des professionnels'!$F57)</f>
        <v/>
      </c>
      <c r="W55" s="226"/>
      <c r="X55" s="229"/>
    </row>
    <row r="56" spans="1:25" s="200" customFormat="1">
      <c r="A56" s="403" t="s">
        <v>77</v>
      </c>
      <c r="B56" s="403"/>
      <c r="C56" s="404"/>
      <c r="D56" s="405"/>
      <c r="E56" s="406"/>
      <c r="F56" s="406"/>
      <c r="G56" s="406"/>
      <c r="H56" s="406"/>
      <c r="I56" s="406"/>
      <c r="J56" s="406"/>
      <c r="K56" s="406"/>
      <c r="L56" s="406"/>
      <c r="M56" s="406"/>
      <c r="N56" s="406"/>
      <c r="O56" s="406"/>
      <c r="P56" s="406"/>
      <c r="Q56" s="406"/>
      <c r="R56" s="406"/>
      <c r="S56" s="406"/>
      <c r="T56" s="406"/>
      <c r="U56" s="406"/>
      <c r="V56" s="406"/>
      <c r="W56" s="226"/>
      <c r="X56" s="232"/>
    </row>
    <row r="57" spans="1:25" s="200" customFormat="1">
      <c r="A57" s="209" t="s">
        <v>82</v>
      </c>
      <c r="B57" s="210">
        <f t="shared" ref="B57:C59" si="24">+B24</f>
        <v>800</v>
      </c>
      <c r="C57" s="250" t="str">
        <f t="shared" si="24"/>
        <v>Egalitaire</v>
      </c>
      <c r="D57" s="239"/>
      <c r="E57" s="239"/>
      <c r="F57" s="211"/>
      <c r="G57" s="211"/>
      <c r="H57" s="211"/>
      <c r="I57" s="211"/>
      <c r="J57" s="211"/>
      <c r="K57" s="211"/>
      <c r="L57" s="211"/>
      <c r="M57" s="211"/>
      <c r="N57" s="211"/>
      <c r="O57" s="230"/>
      <c r="P57" s="230"/>
      <c r="Q57" s="230"/>
      <c r="R57" s="230"/>
      <c r="S57" s="230"/>
      <c r="T57" s="230"/>
      <c r="U57" s="230"/>
      <c r="V57" s="230"/>
      <c r="W57" s="227"/>
      <c r="X57" s="240">
        <f>SUM(D57:V57)</f>
        <v>0</v>
      </c>
      <c r="Y57" s="137" t="str">
        <f>IF(C57&lt;&gt;"Libre","",IF(SUM(D57:V57)-B57=0,"","Anomalie dans l'affectation libre"))</f>
        <v/>
      </c>
    </row>
    <row r="58" spans="1:25" s="200" customFormat="1">
      <c r="A58" s="212" t="s">
        <v>178</v>
      </c>
      <c r="B58" s="210">
        <f t="shared" si="24"/>
        <v>700</v>
      </c>
      <c r="C58" s="250" t="str">
        <f t="shared" si="24"/>
        <v>Egalitaire</v>
      </c>
      <c r="D58" s="239"/>
      <c r="E58" s="235"/>
      <c r="F58" s="235"/>
      <c r="G58" s="235"/>
      <c r="H58" s="235"/>
      <c r="I58" s="214"/>
      <c r="J58" s="211"/>
      <c r="K58" s="211"/>
      <c r="L58" s="211"/>
      <c r="M58" s="211"/>
      <c r="N58" s="211"/>
      <c r="O58" s="230"/>
      <c r="P58" s="230"/>
      <c r="Q58" s="230"/>
      <c r="R58" s="230"/>
      <c r="S58" s="230"/>
      <c r="T58" s="230"/>
      <c r="U58" s="230"/>
      <c r="V58" s="230"/>
      <c r="W58" s="227"/>
      <c r="X58" s="240">
        <f t="shared" ref="X58:X61" si="25">SUM(D58:V58)</f>
        <v>0</v>
      </c>
      <c r="Y58" s="31" t="str">
        <f t="shared" ref="Y58:Y73" si="26">IF(C58&lt;&gt;"Libre","",IF(SUM(D58:V58)-B58=0,"","Anomalie dans l'affectation libre"))</f>
        <v/>
      </c>
    </row>
    <row r="59" spans="1:25" s="200" customFormat="1">
      <c r="A59" s="215" t="s">
        <v>86</v>
      </c>
      <c r="B59" s="210">
        <f t="shared" si="24"/>
        <v>500</v>
      </c>
      <c r="C59" s="250" t="str">
        <f t="shared" si="24"/>
        <v>Prorata du nombre de parts</v>
      </c>
      <c r="D59" s="239"/>
      <c r="E59" s="217"/>
      <c r="F59" s="236"/>
      <c r="G59" s="236"/>
      <c r="H59" s="236"/>
      <c r="I59" s="211"/>
      <c r="J59" s="211"/>
      <c r="K59" s="211"/>
      <c r="L59" s="211"/>
      <c r="M59" s="211"/>
      <c r="N59" s="211"/>
      <c r="O59" s="230"/>
      <c r="P59" s="230"/>
      <c r="Q59" s="230"/>
      <c r="R59" s="230"/>
      <c r="S59" s="230"/>
      <c r="T59" s="230"/>
      <c r="U59" s="230"/>
      <c r="V59" s="230"/>
      <c r="W59" s="227"/>
      <c r="X59" s="240">
        <f t="shared" si="25"/>
        <v>0</v>
      </c>
      <c r="Y59" s="31" t="str">
        <f t="shared" si="26"/>
        <v/>
      </c>
    </row>
    <row r="60" spans="1:25" s="200" customFormat="1">
      <c r="A60" s="403" t="s">
        <v>93</v>
      </c>
      <c r="B60" s="403"/>
      <c r="C60" s="404"/>
      <c r="D60" s="408"/>
      <c r="E60" s="407"/>
      <c r="F60" s="407"/>
      <c r="G60" s="407"/>
      <c r="H60" s="407"/>
      <c r="I60" s="407"/>
      <c r="J60" s="407"/>
      <c r="K60" s="407"/>
      <c r="L60" s="407"/>
      <c r="M60" s="407"/>
      <c r="N60" s="407"/>
      <c r="O60" s="407"/>
      <c r="P60" s="407"/>
      <c r="Q60" s="407"/>
      <c r="R60" s="407"/>
      <c r="S60" s="407"/>
      <c r="T60" s="407"/>
      <c r="U60" s="407"/>
      <c r="V60" s="407"/>
      <c r="W60" s="227"/>
      <c r="X60" s="241"/>
      <c r="Y60" s="31" t="str">
        <f t="shared" si="26"/>
        <v/>
      </c>
    </row>
    <row r="61" spans="1:25" s="200" customFormat="1">
      <c r="A61" s="212" t="s">
        <v>178</v>
      </c>
      <c r="B61" s="210">
        <f>+B28</f>
        <v>3075</v>
      </c>
      <c r="C61" s="250" t="str">
        <f>+C28</f>
        <v>Egalitaire</v>
      </c>
      <c r="D61" s="239"/>
      <c r="E61" s="217"/>
      <c r="F61" s="236"/>
      <c r="G61" s="236"/>
      <c r="H61" s="236"/>
      <c r="I61" s="211"/>
      <c r="J61" s="211"/>
      <c r="K61" s="211"/>
      <c r="L61" s="211"/>
      <c r="M61" s="211"/>
      <c r="N61" s="211"/>
      <c r="O61" s="230"/>
      <c r="P61" s="230"/>
      <c r="Q61" s="230"/>
      <c r="R61" s="230"/>
      <c r="S61" s="230"/>
      <c r="T61" s="230"/>
      <c r="U61" s="230"/>
      <c r="V61" s="230"/>
      <c r="W61" s="227"/>
      <c r="X61" s="240">
        <f t="shared" si="25"/>
        <v>0</v>
      </c>
      <c r="Y61" s="31" t="str">
        <f t="shared" si="26"/>
        <v/>
      </c>
    </row>
    <row r="62" spans="1:25" s="200" customFormat="1">
      <c r="A62" s="215" t="s">
        <v>86</v>
      </c>
      <c r="B62" s="210">
        <f>+B29</f>
        <v>1800</v>
      </c>
      <c r="C62" s="250" t="str">
        <f>+C29</f>
        <v>Egalitaire</v>
      </c>
      <c r="D62" s="239"/>
      <c r="E62" s="217"/>
      <c r="F62" s="236"/>
      <c r="G62" s="236"/>
      <c r="H62" s="236"/>
      <c r="I62" s="211"/>
      <c r="J62" s="211"/>
      <c r="K62" s="211"/>
      <c r="L62" s="211"/>
      <c r="M62" s="211"/>
      <c r="N62" s="211"/>
      <c r="O62" s="230"/>
      <c r="P62" s="230"/>
      <c r="Q62" s="230"/>
      <c r="R62" s="230"/>
      <c r="S62" s="230"/>
      <c r="T62" s="230"/>
      <c r="U62" s="230"/>
      <c r="V62" s="230"/>
      <c r="W62" s="227"/>
      <c r="X62" s="240">
        <f>SUM(D62:V62)</f>
        <v>0</v>
      </c>
      <c r="Y62" s="31" t="str">
        <f t="shared" si="26"/>
        <v/>
      </c>
    </row>
    <row r="63" spans="1:25" s="200" customFormat="1">
      <c r="A63" s="403" t="s">
        <v>97</v>
      </c>
      <c r="B63" s="403"/>
      <c r="C63" s="404"/>
      <c r="D63" s="408"/>
      <c r="E63" s="407"/>
      <c r="F63" s="407"/>
      <c r="G63" s="407"/>
      <c r="H63" s="407"/>
      <c r="I63" s="407"/>
      <c r="J63" s="407"/>
      <c r="K63" s="407"/>
      <c r="L63" s="407"/>
      <c r="M63" s="407"/>
      <c r="N63" s="407"/>
      <c r="O63" s="407"/>
      <c r="P63" s="407"/>
      <c r="Q63" s="407"/>
      <c r="R63" s="407"/>
      <c r="S63" s="407"/>
      <c r="T63" s="407"/>
      <c r="U63" s="407"/>
      <c r="V63" s="407"/>
      <c r="W63" s="227"/>
      <c r="X63" s="241"/>
      <c r="Y63" s="31" t="str">
        <f t="shared" si="26"/>
        <v/>
      </c>
    </row>
    <row r="64" spans="1:25" s="200" customFormat="1">
      <c r="A64" s="212" t="s">
        <v>101</v>
      </c>
      <c r="B64" s="210">
        <f>+B31</f>
        <v>250</v>
      </c>
      <c r="C64" s="250" t="str">
        <f>+C31</f>
        <v>Egalitaire</v>
      </c>
      <c r="D64" s="239"/>
      <c r="E64" s="217"/>
      <c r="F64" s="236"/>
      <c r="G64" s="236"/>
      <c r="H64" s="236"/>
      <c r="I64" s="211"/>
      <c r="J64" s="211"/>
      <c r="K64" s="211"/>
      <c r="L64" s="211"/>
      <c r="M64" s="211"/>
      <c r="N64" s="211"/>
      <c r="O64" s="230"/>
      <c r="P64" s="230"/>
      <c r="Q64" s="230"/>
      <c r="R64" s="230"/>
      <c r="S64" s="230"/>
      <c r="T64" s="230"/>
      <c r="U64" s="230"/>
      <c r="V64" s="230"/>
      <c r="W64" s="227"/>
      <c r="X64" s="240">
        <f t="shared" ref="X64:X71" si="27">SUM(D64:V64)</f>
        <v>0</v>
      </c>
      <c r="Y64" s="31" t="str">
        <f t="shared" si="26"/>
        <v/>
      </c>
    </row>
    <row r="65" spans="1:25" s="200" customFormat="1">
      <c r="A65" s="212" t="s">
        <v>103</v>
      </c>
      <c r="B65" s="210">
        <f>+B32</f>
        <v>0</v>
      </c>
      <c r="C65" s="250" t="str">
        <f>+C32</f>
        <v>Egalitaire</v>
      </c>
      <c r="D65" s="239"/>
      <c r="E65" s="218"/>
      <c r="F65" s="218"/>
      <c r="G65" s="218"/>
      <c r="H65" s="218"/>
      <c r="I65" s="211"/>
      <c r="J65" s="211"/>
      <c r="K65" s="211"/>
      <c r="L65" s="211"/>
      <c r="M65" s="211"/>
      <c r="N65" s="211"/>
      <c r="O65" s="230"/>
      <c r="P65" s="230"/>
      <c r="Q65" s="230"/>
      <c r="R65" s="230"/>
      <c r="S65" s="230"/>
      <c r="T65" s="230"/>
      <c r="U65" s="230"/>
      <c r="V65" s="230"/>
      <c r="W65" s="227"/>
      <c r="X65" s="240">
        <f t="shared" si="27"/>
        <v>0</v>
      </c>
      <c r="Y65" s="31" t="str">
        <f t="shared" si="26"/>
        <v/>
      </c>
    </row>
    <row r="66" spans="1:25" s="200" customFormat="1">
      <c r="A66" s="212" t="s">
        <v>101</v>
      </c>
      <c r="B66" s="210">
        <f t="shared" ref="B66:B71" si="28">+B33</f>
        <v>250</v>
      </c>
      <c r="C66" s="250" t="str">
        <f t="shared" ref="C66:C71" si="29">+C33</f>
        <v>Egalitaire</v>
      </c>
      <c r="D66" s="239"/>
      <c r="E66" s="211"/>
      <c r="F66" s="211"/>
      <c r="G66" s="211"/>
      <c r="H66" s="211"/>
      <c r="I66" s="211"/>
      <c r="J66" s="211"/>
      <c r="K66" s="211"/>
      <c r="L66" s="211"/>
      <c r="M66" s="211"/>
      <c r="N66" s="211"/>
      <c r="O66" s="230"/>
      <c r="P66" s="230"/>
      <c r="Q66" s="230"/>
      <c r="R66" s="230"/>
      <c r="S66" s="230"/>
      <c r="T66" s="230"/>
      <c r="U66" s="230"/>
      <c r="V66" s="230"/>
      <c r="W66" s="227"/>
      <c r="X66" s="240">
        <f t="shared" si="27"/>
        <v>0</v>
      </c>
      <c r="Y66" s="31" t="str">
        <f t="shared" si="26"/>
        <v/>
      </c>
    </row>
    <row r="67" spans="1:25" s="200" customFormat="1">
      <c r="A67" s="212" t="s">
        <v>105</v>
      </c>
      <c r="B67" s="210">
        <f t="shared" si="28"/>
        <v>0</v>
      </c>
      <c r="C67" s="250" t="str">
        <f t="shared" si="29"/>
        <v>Egalitaire</v>
      </c>
      <c r="D67" s="239"/>
      <c r="E67" s="211"/>
      <c r="F67" s="211"/>
      <c r="G67" s="211"/>
      <c r="H67" s="211"/>
      <c r="I67" s="211"/>
      <c r="J67" s="211"/>
      <c r="K67" s="211"/>
      <c r="L67" s="211"/>
      <c r="M67" s="211"/>
      <c r="N67" s="211"/>
      <c r="O67" s="230"/>
      <c r="P67" s="230"/>
      <c r="Q67" s="230"/>
      <c r="R67" s="230"/>
      <c r="S67" s="230"/>
      <c r="T67" s="230"/>
      <c r="U67" s="230"/>
      <c r="V67" s="230"/>
      <c r="W67" s="227"/>
      <c r="X67" s="240">
        <f t="shared" si="27"/>
        <v>0</v>
      </c>
      <c r="Y67" s="31" t="str">
        <f t="shared" si="26"/>
        <v/>
      </c>
    </row>
    <row r="68" spans="1:25" s="200" customFormat="1">
      <c r="A68" s="212" t="s">
        <v>106</v>
      </c>
      <c r="B68" s="210">
        <f t="shared" si="28"/>
        <v>200</v>
      </c>
      <c r="C68" s="250" t="str">
        <f t="shared" si="29"/>
        <v>Libre</v>
      </c>
      <c r="D68" s="239"/>
      <c r="E68" s="211"/>
      <c r="F68" s="211"/>
      <c r="G68" s="211">
        <v>200</v>
      </c>
      <c r="H68" s="211"/>
      <c r="I68" s="211"/>
      <c r="J68" s="211"/>
      <c r="K68" s="211"/>
      <c r="L68" s="211"/>
      <c r="M68" s="211"/>
      <c r="N68" s="211"/>
      <c r="O68" s="230"/>
      <c r="P68" s="230"/>
      <c r="Q68" s="230"/>
      <c r="R68" s="230"/>
      <c r="S68" s="230"/>
      <c r="T68" s="230"/>
      <c r="U68" s="230"/>
      <c r="V68" s="230"/>
      <c r="W68" s="227"/>
      <c r="X68" s="240">
        <f t="shared" si="27"/>
        <v>200</v>
      </c>
      <c r="Y68" s="31" t="str">
        <f t="shared" si="26"/>
        <v/>
      </c>
    </row>
    <row r="69" spans="1:25" s="200" customFormat="1">
      <c r="A69" s="212" t="s">
        <v>106</v>
      </c>
      <c r="B69" s="210">
        <f t="shared" si="28"/>
        <v>100</v>
      </c>
      <c r="C69" s="250" t="str">
        <f t="shared" si="29"/>
        <v>Egalitaire</v>
      </c>
      <c r="D69" s="239"/>
      <c r="E69" s="211"/>
      <c r="F69" s="211"/>
      <c r="G69" s="211"/>
      <c r="H69" s="211"/>
      <c r="I69" s="211"/>
      <c r="J69" s="211"/>
      <c r="K69" s="211"/>
      <c r="L69" s="211"/>
      <c r="M69" s="211"/>
      <c r="N69" s="211"/>
      <c r="O69" s="230"/>
      <c r="P69" s="230"/>
      <c r="Q69" s="230"/>
      <c r="R69" s="230"/>
      <c r="S69" s="230"/>
      <c r="T69" s="230"/>
      <c r="U69" s="230"/>
      <c r="V69" s="230"/>
      <c r="W69" s="227"/>
      <c r="X69" s="240">
        <f t="shared" si="27"/>
        <v>0</v>
      </c>
      <c r="Y69" s="137" t="str">
        <f t="shared" si="26"/>
        <v/>
      </c>
    </row>
    <row r="70" spans="1:25" s="200" customFormat="1">
      <c r="A70" s="212" t="s">
        <v>84</v>
      </c>
      <c r="B70" s="210">
        <f t="shared" si="28"/>
        <v>450</v>
      </c>
      <c r="C70" s="250" t="str">
        <f t="shared" si="29"/>
        <v>Egalitaire</v>
      </c>
      <c r="D70" s="239"/>
      <c r="E70" s="235"/>
      <c r="F70" s="235"/>
      <c r="G70" s="235"/>
      <c r="H70" s="235"/>
      <c r="I70" s="214"/>
      <c r="J70" s="211"/>
      <c r="K70" s="211"/>
      <c r="L70" s="211"/>
      <c r="M70" s="211"/>
      <c r="N70" s="211"/>
      <c r="O70" s="230"/>
      <c r="P70" s="230"/>
      <c r="Q70" s="230"/>
      <c r="R70" s="230"/>
      <c r="S70" s="230"/>
      <c r="T70" s="230"/>
      <c r="U70" s="230"/>
      <c r="V70" s="230"/>
      <c r="W70" s="227"/>
      <c r="X70" s="240">
        <f t="shared" si="27"/>
        <v>0</v>
      </c>
      <c r="Y70" s="137" t="str">
        <f t="shared" si="26"/>
        <v/>
      </c>
    </row>
    <row r="71" spans="1:25" s="200" customFormat="1">
      <c r="A71" s="212" t="s">
        <v>86</v>
      </c>
      <c r="B71" s="210">
        <f t="shared" si="28"/>
        <v>100</v>
      </c>
      <c r="C71" s="250" t="str">
        <f t="shared" si="29"/>
        <v>Egalitaire</v>
      </c>
      <c r="D71" s="239"/>
      <c r="E71" s="217"/>
      <c r="F71" s="236"/>
      <c r="G71" s="236"/>
      <c r="H71" s="236"/>
      <c r="I71" s="211"/>
      <c r="J71" s="211"/>
      <c r="K71" s="211"/>
      <c r="L71" s="211"/>
      <c r="M71" s="211"/>
      <c r="N71" s="211"/>
      <c r="O71" s="230"/>
      <c r="P71" s="230"/>
      <c r="Q71" s="230"/>
      <c r="R71" s="230"/>
      <c r="S71" s="230"/>
      <c r="T71" s="230"/>
      <c r="U71" s="230"/>
      <c r="V71" s="230"/>
      <c r="W71" s="227"/>
      <c r="X71" s="240">
        <f t="shared" si="27"/>
        <v>0</v>
      </c>
      <c r="Y71" s="137" t="str">
        <f t="shared" si="26"/>
        <v/>
      </c>
    </row>
    <row r="72" spans="1:25" s="200" customFormat="1">
      <c r="A72" s="403" t="s">
        <v>113</v>
      </c>
      <c r="B72" s="403"/>
      <c r="C72" s="404"/>
      <c r="D72" s="408"/>
      <c r="E72" s="407"/>
      <c r="F72" s="407"/>
      <c r="G72" s="407"/>
      <c r="H72" s="407"/>
      <c r="I72" s="407"/>
      <c r="J72" s="407"/>
      <c r="K72" s="407"/>
      <c r="L72" s="407"/>
      <c r="M72" s="407"/>
      <c r="N72" s="407"/>
      <c r="O72" s="407"/>
      <c r="P72" s="407"/>
      <c r="Q72" s="407"/>
      <c r="R72" s="407"/>
      <c r="S72" s="407"/>
      <c r="T72" s="407"/>
      <c r="U72" s="407"/>
      <c r="V72" s="407"/>
      <c r="W72" s="227"/>
      <c r="X72" s="241"/>
      <c r="Y72" s="137" t="str">
        <f t="shared" si="26"/>
        <v/>
      </c>
    </row>
    <row r="73" spans="1:25" s="200" customFormat="1">
      <c r="A73" s="219" t="s">
        <v>106</v>
      </c>
      <c r="B73" s="220">
        <f>+'Calcul de la dotation NMR'!F71</f>
        <v>0</v>
      </c>
      <c r="C73" s="254" t="str">
        <f>+C40</f>
        <v>Egalitaire</v>
      </c>
      <c r="D73" s="208"/>
      <c r="E73" s="221"/>
      <c r="F73" s="237"/>
      <c r="G73" s="237"/>
      <c r="H73" s="237"/>
      <c r="I73" s="238"/>
      <c r="J73" s="238"/>
      <c r="K73" s="238"/>
      <c r="L73" s="238"/>
      <c r="M73" s="238"/>
      <c r="N73" s="238"/>
      <c r="O73" s="231"/>
      <c r="P73" s="231"/>
      <c r="Q73" s="231"/>
      <c r="R73" s="231"/>
      <c r="S73" s="231"/>
      <c r="T73" s="231"/>
      <c r="U73" s="231"/>
      <c r="V73" s="231"/>
      <c r="W73" s="228"/>
      <c r="X73" s="242">
        <f>SUM(D73:V73)</f>
        <v>0</v>
      </c>
      <c r="Y73" s="137" t="str">
        <f t="shared" si="26"/>
        <v/>
      </c>
    </row>
    <row r="74" spans="1:25" s="200" customFormat="1">
      <c r="A74" s="203"/>
      <c r="B74" s="204"/>
      <c r="C74" s="201"/>
      <c r="D74" s="201"/>
      <c r="E74" s="201"/>
      <c r="F74" s="202"/>
      <c r="G74" s="202"/>
      <c r="H74" s="202"/>
      <c r="I74" s="199"/>
      <c r="J74" s="199"/>
      <c r="K74" s="199"/>
      <c r="L74" s="199"/>
      <c r="M74" s="199"/>
      <c r="N74" s="199"/>
    </row>
    <row r="75" spans="1:25" s="200" customFormat="1">
      <c r="A75" s="199"/>
      <c r="B75" s="199"/>
      <c r="C75" s="199"/>
      <c r="D75" s="199"/>
      <c r="E75" s="199"/>
      <c r="F75" s="199"/>
      <c r="G75" s="199"/>
      <c r="H75" s="199"/>
      <c r="I75" s="199"/>
      <c r="J75" s="199"/>
      <c r="K75" s="199"/>
      <c r="L75" s="199"/>
      <c r="M75" s="199"/>
      <c r="N75" s="199"/>
    </row>
    <row r="76" spans="1:25" s="200" customFormat="1">
      <c r="A76" s="199"/>
      <c r="B76" s="199"/>
      <c r="C76" s="199"/>
      <c r="D76" s="199"/>
      <c r="E76" s="199"/>
      <c r="F76" s="199"/>
      <c r="G76" s="199"/>
      <c r="H76" s="199"/>
      <c r="I76" s="199"/>
      <c r="J76" s="199"/>
      <c r="K76" s="199"/>
      <c r="L76" s="199"/>
      <c r="M76" s="199"/>
      <c r="N76" s="199"/>
    </row>
    <row r="77" spans="1:25" s="200" customFormat="1">
      <c r="A77" s="199"/>
      <c r="B77" s="199"/>
      <c r="C77" s="199"/>
      <c r="D77" s="199"/>
      <c r="E77" s="199"/>
      <c r="F77" s="199"/>
      <c r="G77" s="199"/>
      <c r="H77" s="199"/>
      <c r="I77" s="199"/>
      <c r="J77" s="199"/>
      <c r="K77" s="199"/>
      <c r="L77" s="199"/>
      <c r="M77" s="199"/>
      <c r="N77" s="199"/>
    </row>
    <row r="78" spans="1:25" s="200" customFormat="1">
      <c r="A78" s="199"/>
      <c r="B78" s="199"/>
      <c r="C78" s="199"/>
      <c r="D78" s="199"/>
      <c r="E78" s="199"/>
      <c r="F78" s="199"/>
      <c r="G78" s="199"/>
      <c r="H78" s="199"/>
      <c r="I78" s="199"/>
      <c r="J78" s="199"/>
      <c r="K78" s="199"/>
      <c r="L78" s="199"/>
      <c r="M78" s="199"/>
      <c r="N78" s="199"/>
    </row>
    <row r="79" spans="1:25" s="200" customFormat="1">
      <c r="A79" s="199"/>
      <c r="B79" s="199"/>
      <c r="C79" s="199"/>
      <c r="D79" s="199"/>
      <c r="E79" s="199"/>
      <c r="F79" s="199"/>
      <c r="G79" s="199"/>
      <c r="H79" s="199"/>
      <c r="I79" s="199"/>
      <c r="J79" s="199"/>
      <c r="K79" s="199"/>
      <c r="L79" s="199"/>
      <c r="M79" s="199"/>
      <c r="N79" s="199"/>
    </row>
    <row r="80" spans="1:25" s="200" customFormat="1">
      <c r="A80" s="199"/>
      <c r="B80" s="199"/>
      <c r="C80" s="199"/>
      <c r="D80" s="199"/>
      <c r="E80" s="199"/>
      <c r="F80" s="199"/>
      <c r="G80" s="199"/>
      <c r="H80" s="199"/>
      <c r="I80" s="199"/>
      <c r="J80" s="199"/>
      <c r="K80" s="199"/>
      <c r="L80" s="199"/>
      <c r="M80" s="199"/>
      <c r="N80" s="199"/>
    </row>
    <row r="81" spans="1:14" s="200" customFormat="1">
      <c r="A81" s="199"/>
      <c r="B81" s="199"/>
      <c r="C81" s="199"/>
      <c r="D81" s="199"/>
      <c r="E81" s="199"/>
      <c r="F81" s="199"/>
      <c r="G81" s="199"/>
      <c r="H81" s="199"/>
      <c r="I81" s="199"/>
      <c r="J81" s="199"/>
      <c r="K81" s="199"/>
      <c r="L81" s="199"/>
      <c r="M81" s="199"/>
      <c r="N81" s="199"/>
    </row>
    <row r="82" spans="1:14" s="200" customFormat="1">
      <c r="A82" s="199"/>
      <c r="B82" s="199"/>
      <c r="C82" s="199"/>
      <c r="D82" s="199"/>
      <c r="E82" s="199"/>
      <c r="F82" s="199"/>
      <c r="G82" s="199"/>
      <c r="H82" s="199"/>
      <c r="I82" s="199"/>
      <c r="J82" s="199"/>
      <c r="K82" s="199"/>
      <c r="L82" s="199"/>
      <c r="M82" s="199"/>
      <c r="N82" s="199"/>
    </row>
    <row r="83" spans="1:14" s="200" customFormat="1">
      <c r="A83" s="199"/>
      <c r="B83" s="199"/>
      <c r="C83" s="199"/>
      <c r="D83" s="199"/>
      <c r="E83" s="199"/>
      <c r="F83" s="199"/>
      <c r="G83" s="199"/>
      <c r="H83" s="199"/>
      <c r="I83" s="199"/>
      <c r="J83" s="199"/>
      <c r="K83" s="199"/>
      <c r="L83" s="199"/>
      <c r="M83" s="199"/>
      <c r="N83" s="199"/>
    </row>
    <row r="84" spans="1:14" s="200" customFormat="1">
      <c r="A84" s="199"/>
      <c r="B84" s="199"/>
      <c r="C84" s="199"/>
      <c r="D84" s="199"/>
      <c r="E84" s="199"/>
      <c r="F84" s="199"/>
      <c r="G84" s="199"/>
      <c r="H84" s="199"/>
      <c r="I84" s="199"/>
      <c r="J84" s="199"/>
      <c r="K84" s="199"/>
      <c r="L84" s="199"/>
      <c r="M84" s="199"/>
      <c r="N84" s="199"/>
    </row>
    <row r="85" spans="1:14" s="200" customFormat="1">
      <c r="A85" s="199"/>
      <c r="B85" s="199"/>
      <c r="C85" s="199"/>
      <c r="D85" s="199"/>
      <c r="E85" s="199"/>
      <c r="F85" s="199"/>
      <c r="G85" s="199"/>
      <c r="H85" s="199"/>
      <c r="I85" s="199"/>
      <c r="J85" s="199"/>
      <c r="K85" s="199"/>
      <c r="L85" s="199"/>
      <c r="M85" s="199"/>
      <c r="N85" s="199"/>
    </row>
    <row r="86" spans="1:14" s="200" customFormat="1">
      <c r="A86" s="199"/>
      <c r="B86" s="199"/>
      <c r="C86" s="199"/>
      <c r="D86" s="199"/>
      <c r="E86" s="199"/>
      <c r="F86" s="199"/>
      <c r="G86" s="199"/>
      <c r="H86" s="199"/>
      <c r="I86" s="199"/>
      <c r="J86" s="199"/>
      <c r="K86" s="199"/>
      <c r="L86" s="199"/>
      <c r="M86" s="199"/>
      <c r="N86" s="199"/>
    </row>
    <row r="87" spans="1:14" s="200" customFormat="1">
      <c r="A87" s="199"/>
      <c r="B87" s="199"/>
      <c r="C87" s="199"/>
      <c r="D87" s="199"/>
      <c r="E87" s="199"/>
      <c r="F87" s="199"/>
      <c r="G87" s="199"/>
      <c r="H87" s="199"/>
      <c r="I87" s="199"/>
      <c r="J87" s="199"/>
      <c r="K87" s="199"/>
      <c r="L87" s="199"/>
      <c r="M87" s="199"/>
      <c r="N87" s="199"/>
    </row>
    <row r="88" spans="1:14" s="200" customFormat="1">
      <c r="A88" s="199"/>
      <c r="B88" s="199"/>
      <c r="C88" s="199"/>
      <c r="D88" s="199"/>
      <c r="E88" s="199"/>
      <c r="F88" s="199"/>
      <c r="G88" s="199"/>
      <c r="H88" s="199"/>
      <c r="I88" s="199"/>
      <c r="J88" s="199"/>
      <c r="K88" s="199"/>
      <c r="L88" s="199"/>
      <c r="M88" s="199"/>
      <c r="N88" s="199"/>
    </row>
    <row r="89" spans="1:14" s="200" customFormat="1">
      <c r="A89" s="199"/>
      <c r="B89" s="199"/>
      <c r="C89" s="199"/>
      <c r="D89" s="199"/>
      <c r="E89" s="199"/>
      <c r="F89" s="199"/>
      <c r="G89" s="199"/>
      <c r="H89" s="199"/>
      <c r="I89" s="199"/>
      <c r="J89" s="199"/>
      <c r="K89" s="199"/>
      <c r="L89" s="199"/>
      <c r="M89" s="199"/>
      <c r="N89" s="199"/>
    </row>
    <row r="90" spans="1:14" s="200" customFormat="1">
      <c r="A90" s="199"/>
      <c r="B90" s="199"/>
      <c r="C90" s="199"/>
      <c r="D90" s="199"/>
      <c r="E90" s="199"/>
      <c r="F90" s="199"/>
      <c r="G90" s="199"/>
      <c r="H90" s="199"/>
      <c r="I90" s="199"/>
      <c r="J90" s="199"/>
      <c r="K90" s="199"/>
      <c r="L90" s="199"/>
      <c r="M90" s="199"/>
      <c r="N90" s="199"/>
    </row>
    <row r="91" spans="1:14" s="200" customFormat="1">
      <c r="A91" s="199"/>
      <c r="B91" s="199"/>
      <c r="C91" s="199"/>
      <c r="D91" s="199"/>
      <c r="E91" s="199"/>
      <c r="F91" s="199"/>
      <c r="G91" s="199"/>
      <c r="H91" s="199"/>
      <c r="I91" s="199"/>
      <c r="J91" s="199"/>
      <c r="K91" s="199"/>
      <c r="L91" s="199"/>
      <c r="M91" s="199"/>
      <c r="N91" s="199"/>
    </row>
    <row r="92" spans="1:14" s="200" customFormat="1">
      <c r="A92" s="199"/>
      <c r="B92" s="199"/>
      <c r="C92" s="199"/>
      <c r="D92" s="199"/>
      <c r="E92" s="199"/>
      <c r="F92" s="199"/>
      <c r="G92" s="199"/>
      <c r="H92" s="199"/>
      <c r="I92" s="199"/>
      <c r="J92" s="199"/>
      <c r="K92" s="199"/>
      <c r="L92" s="199"/>
      <c r="M92" s="199"/>
      <c r="N92" s="199"/>
    </row>
    <row r="93" spans="1:14" s="200" customFormat="1">
      <c r="A93" s="199"/>
      <c r="B93" s="199"/>
      <c r="C93" s="199"/>
      <c r="D93" s="199"/>
      <c r="E93" s="199"/>
      <c r="F93" s="199"/>
      <c r="G93" s="199"/>
      <c r="H93" s="199"/>
      <c r="I93" s="199"/>
      <c r="J93" s="199"/>
      <c r="K93" s="199"/>
      <c r="L93" s="199"/>
      <c r="M93" s="199"/>
      <c r="N93" s="199"/>
    </row>
    <row r="94" spans="1:14" s="200" customFormat="1">
      <c r="A94" s="199"/>
      <c r="B94" s="199"/>
      <c r="C94" s="199"/>
      <c r="D94" s="199"/>
      <c r="E94" s="199"/>
      <c r="F94" s="199"/>
      <c r="G94" s="199"/>
      <c r="H94" s="199"/>
      <c r="I94" s="199"/>
      <c r="J94" s="199"/>
      <c r="K94" s="199"/>
      <c r="L94" s="199"/>
      <c r="M94" s="199"/>
      <c r="N94" s="199"/>
    </row>
    <row r="95" spans="1:14" s="200" customFormat="1">
      <c r="A95" s="199"/>
      <c r="B95" s="199"/>
      <c r="C95" s="199"/>
      <c r="D95" s="199"/>
      <c r="E95" s="199"/>
      <c r="F95" s="199"/>
      <c r="G95" s="199"/>
      <c r="H95" s="199"/>
      <c r="I95" s="199"/>
      <c r="J95" s="199"/>
      <c r="K95" s="199"/>
      <c r="L95" s="199"/>
      <c r="M95" s="199"/>
      <c r="N95" s="199"/>
    </row>
    <row r="96" spans="1:14" s="200" customFormat="1">
      <c r="A96" s="199"/>
      <c r="B96" s="199"/>
      <c r="C96" s="199"/>
      <c r="D96" s="199"/>
      <c r="E96" s="199"/>
      <c r="F96" s="199"/>
      <c r="G96" s="199"/>
      <c r="H96" s="199"/>
      <c r="I96" s="199"/>
      <c r="J96" s="199"/>
      <c r="K96" s="199"/>
      <c r="L96" s="199"/>
      <c r="M96" s="199"/>
      <c r="N96" s="199"/>
    </row>
    <row r="97" spans="1:14" s="200" customFormat="1">
      <c r="A97" s="199"/>
      <c r="B97" s="199"/>
      <c r="C97" s="199"/>
      <c r="D97" s="199"/>
      <c r="E97" s="199"/>
      <c r="F97" s="199"/>
      <c r="G97" s="199"/>
      <c r="H97" s="199"/>
      <c r="I97" s="199"/>
      <c r="J97" s="199"/>
      <c r="K97" s="199"/>
      <c r="L97" s="199"/>
      <c r="M97" s="199"/>
      <c r="N97" s="199"/>
    </row>
    <row r="98" spans="1:14" s="200" customFormat="1">
      <c r="A98" s="199"/>
      <c r="B98" s="199"/>
      <c r="C98" s="199"/>
      <c r="D98" s="199"/>
      <c r="E98" s="199"/>
      <c r="F98" s="199"/>
      <c r="G98" s="199"/>
      <c r="H98" s="199"/>
      <c r="I98" s="199"/>
      <c r="J98" s="199"/>
      <c r="K98" s="199"/>
      <c r="L98" s="199"/>
      <c r="M98" s="199"/>
      <c r="N98" s="199"/>
    </row>
    <row r="99" spans="1:14" s="200" customFormat="1">
      <c r="A99" s="199"/>
      <c r="B99" s="199"/>
      <c r="C99" s="199"/>
      <c r="D99" s="199"/>
      <c r="E99" s="199"/>
      <c r="F99" s="199"/>
      <c r="G99" s="199"/>
      <c r="H99" s="199"/>
      <c r="I99" s="199"/>
      <c r="J99" s="199"/>
      <c r="K99" s="199"/>
      <c r="L99" s="199"/>
      <c r="M99" s="199"/>
      <c r="N99" s="199"/>
    </row>
    <row r="100" spans="1:14" s="200" customFormat="1">
      <c r="A100" s="199"/>
      <c r="B100" s="199"/>
      <c r="C100" s="199"/>
      <c r="D100" s="199"/>
      <c r="E100" s="199"/>
      <c r="F100" s="199"/>
      <c r="G100" s="199"/>
      <c r="H100" s="199"/>
      <c r="I100" s="199"/>
      <c r="J100" s="199"/>
      <c r="K100" s="199"/>
      <c r="L100" s="199"/>
      <c r="M100" s="199"/>
      <c r="N100" s="199"/>
    </row>
    <row r="101" spans="1:14" s="200" customFormat="1">
      <c r="A101" s="199"/>
      <c r="B101" s="199"/>
      <c r="C101" s="199"/>
      <c r="D101" s="199"/>
      <c r="E101" s="199"/>
      <c r="F101" s="199"/>
      <c r="G101" s="199"/>
      <c r="H101" s="199"/>
      <c r="I101" s="199"/>
      <c r="J101" s="199"/>
      <c r="K101" s="199"/>
      <c r="L101" s="199"/>
      <c r="M101" s="199"/>
      <c r="N101" s="199"/>
    </row>
    <row r="102" spans="1:14" s="200" customFormat="1">
      <c r="A102" s="199"/>
      <c r="B102" s="199"/>
      <c r="C102" s="199"/>
      <c r="D102" s="199"/>
      <c r="E102" s="199"/>
      <c r="F102" s="199"/>
      <c r="G102" s="199"/>
      <c r="H102" s="199"/>
      <c r="I102" s="199"/>
      <c r="J102" s="199"/>
      <c r="K102" s="199"/>
      <c r="L102" s="199"/>
      <c r="M102" s="199"/>
      <c r="N102" s="199"/>
    </row>
    <row r="103" spans="1:14" s="200" customFormat="1">
      <c r="A103" s="199"/>
      <c r="B103" s="199"/>
      <c r="C103" s="199"/>
      <c r="D103" s="199"/>
      <c r="E103" s="199"/>
      <c r="F103" s="199"/>
      <c r="G103" s="199"/>
      <c r="H103" s="199"/>
      <c r="I103" s="199"/>
      <c r="J103" s="199"/>
      <c r="K103" s="199"/>
      <c r="L103" s="199"/>
      <c r="M103" s="199"/>
      <c r="N103" s="199"/>
    </row>
    <row r="104" spans="1:14" s="200" customFormat="1">
      <c r="A104" s="199"/>
      <c r="B104" s="199"/>
      <c r="C104" s="199"/>
      <c r="D104" s="199"/>
      <c r="E104" s="199"/>
      <c r="F104" s="199"/>
      <c r="G104" s="199"/>
      <c r="H104" s="199"/>
      <c r="I104" s="199"/>
      <c r="J104" s="199"/>
      <c r="K104" s="199"/>
      <c r="L104" s="199"/>
      <c r="M104" s="199"/>
      <c r="N104" s="199"/>
    </row>
    <row r="105" spans="1:14" s="200" customFormat="1">
      <c r="A105" s="199"/>
      <c r="B105" s="199"/>
      <c r="C105" s="199"/>
      <c r="D105" s="199"/>
      <c r="E105" s="199"/>
      <c r="F105" s="199"/>
      <c r="G105" s="199"/>
      <c r="H105" s="199"/>
      <c r="I105" s="199"/>
      <c r="J105" s="199"/>
      <c r="K105" s="199"/>
      <c r="L105" s="199"/>
      <c r="M105" s="199"/>
      <c r="N105" s="199"/>
    </row>
    <row r="106" spans="1:14" s="200" customFormat="1">
      <c r="A106" s="199"/>
      <c r="B106" s="199"/>
      <c r="C106" s="199"/>
      <c r="D106" s="199"/>
      <c r="E106" s="199"/>
      <c r="F106" s="199"/>
      <c r="G106" s="199"/>
      <c r="H106" s="199"/>
      <c r="I106" s="199"/>
      <c r="J106" s="199"/>
      <c r="K106" s="199"/>
      <c r="L106" s="199"/>
      <c r="M106" s="199"/>
      <c r="N106" s="199"/>
    </row>
    <row r="107" spans="1:14" s="200" customFormat="1">
      <c r="A107" s="199"/>
      <c r="B107" s="199"/>
      <c r="C107" s="199"/>
      <c r="D107" s="199"/>
      <c r="E107" s="199"/>
      <c r="F107" s="199"/>
      <c r="G107" s="199"/>
      <c r="H107" s="199"/>
      <c r="I107" s="199"/>
      <c r="J107" s="199"/>
      <c r="K107" s="199"/>
      <c r="L107" s="199"/>
      <c r="M107" s="199"/>
      <c r="N107" s="199"/>
    </row>
    <row r="108" spans="1:14" s="200" customFormat="1">
      <c r="A108" s="199"/>
      <c r="B108" s="199"/>
      <c r="C108" s="199"/>
      <c r="D108" s="199"/>
      <c r="E108" s="199"/>
      <c r="F108" s="199"/>
      <c r="G108" s="199"/>
      <c r="H108" s="199"/>
      <c r="I108" s="199"/>
      <c r="J108" s="199"/>
      <c r="K108" s="199"/>
      <c r="L108" s="199"/>
      <c r="M108" s="199"/>
      <c r="N108" s="199"/>
    </row>
    <row r="109" spans="1:14" s="200" customFormat="1">
      <c r="A109" s="199"/>
      <c r="B109" s="199"/>
      <c r="C109" s="199"/>
      <c r="D109" s="199"/>
      <c r="E109" s="199"/>
      <c r="F109" s="199"/>
      <c r="G109" s="199"/>
      <c r="H109" s="199"/>
      <c r="I109" s="199"/>
      <c r="J109" s="199"/>
      <c r="K109" s="199"/>
      <c r="L109" s="199"/>
      <c r="M109" s="199"/>
      <c r="N109" s="199"/>
    </row>
    <row r="110" spans="1:14" s="200" customFormat="1">
      <c r="A110" s="199"/>
      <c r="B110" s="199"/>
      <c r="C110" s="199"/>
      <c r="D110" s="199"/>
      <c r="E110" s="199"/>
      <c r="F110" s="199"/>
      <c r="G110" s="199"/>
      <c r="H110" s="199"/>
      <c r="I110" s="199"/>
      <c r="J110" s="199"/>
      <c r="K110" s="199"/>
      <c r="L110" s="199"/>
      <c r="M110" s="199"/>
      <c r="N110" s="199"/>
    </row>
    <row r="111" spans="1:14" s="200" customFormat="1">
      <c r="A111" s="199"/>
      <c r="B111" s="199"/>
      <c r="C111" s="199"/>
      <c r="D111" s="199"/>
      <c r="E111" s="199"/>
      <c r="F111" s="199"/>
      <c r="G111" s="199"/>
      <c r="H111" s="199"/>
      <c r="I111" s="199"/>
      <c r="J111" s="199"/>
      <c r="K111" s="199"/>
      <c r="L111" s="199"/>
      <c r="M111" s="199"/>
      <c r="N111" s="199"/>
    </row>
    <row r="112" spans="1:14" s="200" customFormat="1">
      <c r="A112" s="199"/>
      <c r="B112" s="199"/>
      <c r="C112" s="199"/>
      <c r="D112" s="199"/>
      <c r="E112" s="199"/>
      <c r="F112" s="199"/>
      <c r="G112" s="199"/>
      <c r="H112" s="199"/>
      <c r="I112" s="199"/>
      <c r="J112" s="199"/>
      <c r="K112" s="199"/>
      <c r="L112" s="199"/>
      <c r="M112" s="199"/>
      <c r="N112" s="199"/>
    </row>
    <row r="113" spans="1:14" s="200" customFormat="1">
      <c r="A113" s="199"/>
      <c r="B113" s="199"/>
      <c r="C113" s="199"/>
      <c r="D113" s="199"/>
      <c r="E113" s="199"/>
      <c r="F113" s="199"/>
      <c r="G113" s="199"/>
      <c r="H113" s="199"/>
      <c r="I113" s="199"/>
      <c r="J113" s="199"/>
      <c r="K113" s="199"/>
      <c r="L113" s="199"/>
      <c r="M113" s="199"/>
      <c r="N113" s="199"/>
    </row>
    <row r="114" spans="1:14" s="200" customFormat="1">
      <c r="A114" s="199"/>
      <c r="B114" s="199"/>
      <c r="C114" s="199"/>
      <c r="D114" s="199"/>
      <c r="E114" s="199"/>
      <c r="F114" s="199"/>
      <c r="G114" s="199"/>
      <c r="H114" s="199"/>
      <c r="I114" s="199"/>
      <c r="J114" s="199"/>
      <c r="K114" s="199"/>
      <c r="L114" s="199"/>
      <c r="M114" s="199"/>
      <c r="N114" s="199"/>
    </row>
    <row r="115" spans="1:14" s="200" customFormat="1">
      <c r="A115" s="199"/>
      <c r="B115" s="199"/>
      <c r="C115" s="199"/>
      <c r="D115" s="199"/>
      <c r="E115" s="199"/>
      <c r="F115" s="199"/>
      <c r="G115" s="199"/>
      <c r="H115" s="199"/>
      <c r="I115" s="199"/>
      <c r="J115" s="199"/>
      <c r="K115" s="199"/>
      <c r="L115" s="199"/>
      <c r="M115" s="199"/>
      <c r="N115" s="199"/>
    </row>
    <row r="116" spans="1:14" s="200" customFormat="1">
      <c r="A116" s="199"/>
      <c r="B116" s="199"/>
      <c r="C116" s="199"/>
      <c r="D116" s="199"/>
      <c r="E116" s="199"/>
      <c r="F116" s="199"/>
      <c r="G116" s="199"/>
      <c r="H116" s="199"/>
      <c r="I116" s="199"/>
      <c r="J116" s="199"/>
      <c r="K116" s="199"/>
      <c r="L116" s="199"/>
      <c r="M116" s="199"/>
      <c r="N116" s="199"/>
    </row>
    <row r="117" spans="1:14" s="200" customFormat="1">
      <c r="A117" s="199"/>
      <c r="B117" s="199"/>
      <c r="C117" s="199"/>
      <c r="D117" s="199"/>
      <c r="E117" s="199"/>
      <c r="F117" s="199"/>
      <c r="G117" s="199"/>
      <c r="H117" s="199"/>
      <c r="I117" s="199"/>
      <c r="J117" s="199"/>
      <c r="K117" s="199"/>
      <c r="L117" s="199"/>
      <c r="M117" s="199"/>
      <c r="N117" s="199"/>
    </row>
    <row r="118" spans="1:14" s="200" customFormat="1">
      <c r="A118" s="199"/>
      <c r="B118" s="199"/>
      <c r="C118" s="199"/>
      <c r="D118" s="199"/>
      <c r="E118" s="199"/>
      <c r="F118" s="199"/>
      <c r="G118" s="199"/>
      <c r="H118" s="199"/>
      <c r="I118" s="199"/>
      <c r="J118" s="199"/>
      <c r="K118" s="199"/>
      <c r="L118" s="199"/>
      <c r="M118" s="199"/>
      <c r="N118" s="199"/>
    </row>
    <row r="119" spans="1:14" s="200" customFormat="1">
      <c r="A119" s="199"/>
      <c r="B119" s="199"/>
      <c r="C119" s="199"/>
      <c r="D119" s="199"/>
      <c r="E119" s="199"/>
      <c r="F119" s="199"/>
      <c r="G119" s="199"/>
      <c r="H119" s="199"/>
      <c r="I119" s="199"/>
      <c r="J119" s="199"/>
      <c r="K119" s="199"/>
      <c r="L119" s="199"/>
      <c r="M119" s="199"/>
      <c r="N119" s="199"/>
    </row>
    <row r="120" spans="1:14" s="200" customFormat="1">
      <c r="A120" s="199"/>
      <c r="B120" s="199"/>
      <c r="C120" s="199"/>
      <c r="D120" s="199"/>
      <c r="E120" s="199"/>
      <c r="F120" s="199"/>
      <c r="G120" s="199"/>
      <c r="H120" s="199"/>
      <c r="I120" s="199"/>
      <c r="J120" s="199"/>
      <c r="K120" s="199"/>
      <c r="L120" s="199"/>
      <c r="M120" s="199"/>
      <c r="N120" s="199"/>
    </row>
    <row r="121" spans="1:14" s="200" customFormat="1">
      <c r="A121" s="199"/>
      <c r="B121" s="199"/>
      <c r="C121" s="199"/>
      <c r="D121" s="199"/>
      <c r="E121" s="199"/>
      <c r="F121" s="199"/>
      <c r="G121" s="199"/>
      <c r="H121" s="199"/>
      <c r="I121" s="199"/>
      <c r="J121" s="199"/>
      <c r="K121" s="199"/>
      <c r="L121" s="199"/>
      <c r="M121" s="199"/>
      <c r="N121" s="199"/>
    </row>
    <row r="122" spans="1:14" s="200" customFormat="1">
      <c r="A122" s="199"/>
      <c r="B122" s="199"/>
      <c r="C122" s="199"/>
      <c r="D122" s="199"/>
      <c r="E122" s="199"/>
      <c r="F122" s="199"/>
      <c r="G122" s="199"/>
      <c r="H122" s="199"/>
      <c r="I122" s="199"/>
      <c r="J122" s="199"/>
      <c r="K122" s="199"/>
      <c r="L122" s="199"/>
      <c r="M122" s="199"/>
      <c r="N122" s="199"/>
    </row>
    <row r="123" spans="1:14" s="200" customFormat="1">
      <c r="A123" s="199"/>
      <c r="B123" s="199"/>
      <c r="C123" s="199"/>
      <c r="D123" s="199"/>
      <c r="E123" s="199"/>
      <c r="F123" s="199"/>
      <c r="G123" s="199"/>
      <c r="H123" s="199"/>
      <c r="I123" s="199"/>
      <c r="J123" s="199"/>
      <c r="K123" s="199"/>
      <c r="L123" s="199"/>
      <c r="M123" s="199"/>
      <c r="N123" s="199"/>
    </row>
    <row r="124" spans="1:14" s="200" customFormat="1">
      <c r="A124" s="199"/>
      <c r="B124" s="199"/>
      <c r="C124" s="199"/>
      <c r="D124" s="199"/>
      <c r="E124" s="199"/>
      <c r="F124" s="199"/>
      <c r="G124" s="199"/>
      <c r="H124" s="199"/>
      <c r="I124" s="199"/>
      <c r="J124" s="199"/>
      <c r="K124" s="199"/>
      <c r="L124" s="199"/>
      <c r="M124" s="199"/>
      <c r="N124" s="199"/>
    </row>
    <row r="125" spans="1:14" s="200" customFormat="1">
      <c r="A125" s="199"/>
      <c r="B125" s="199"/>
      <c r="C125" s="199"/>
      <c r="D125" s="199"/>
      <c r="E125" s="199"/>
      <c r="F125" s="199"/>
      <c r="G125" s="199"/>
      <c r="H125" s="199"/>
      <c r="I125" s="199"/>
      <c r="J125" s="199"/>
      <c r="K125" s="199"/>
      <c r="L125" s="199"/>
      <c r="M125" s="199"/>
      <c r="N125" s="199"/>
    </row>
    <row r="126" spans="1:14" s="200" customFormat="1">
      <c r="A126" s="199"/>
      <c r="B126" s="199"/>
      <c r="C126" s="199"/>
      <c r="D126" s="199"/>
      <c r="E126" s="199"/>
      <c r="F126" s="199"/>
      <c r="G126" s="199"/>
      <c r="H126" s="199"/>
      <c r="I126" s="199"/>
      <c r="J126" s="199"/>
      <c r="K126" s="199"/>
      <c r="L126" s="199"/>
      <c r="M126" s="199"/>
      <c r="N126" s="199"/>
    </row>
    <row r="127" spans="1:14" s="200" customFormat="1">
      <c r="A127" s="199"/>
      <c r="B127" s="199"/>
      <c r="C127" s="199"/>
      <c r="D127" s="199"/>
      <c r="E127" s="199"/>
      <c r="F127" s="199"/>
      <c r="G127" s="199"/>
      <c r="H127" s="199"/>
      <c r="I127" s="199"/>
      <c r="J127" s="199"/>
      <c r="K127" s="199"/>
      <c r="L127" s="199"/>
      <c r="M127" s="199"/>
      <c r="N127" s="199"/>
    </row>
    <row r="128" spans="1:14" s="200" customFormat="1">
      <c r="A128" s="199"/>
      <c r="B128" s="199"/>
      <c r="C128" s="199"/>
      <c r="D128" s="199"/>
      <c r="E128" s="199"/>
      <c r="F128" s="199"/>
      <c r="G128" s="199"/>
      <c r="H128" s="199"/>
      <c r="I128" s="199"/>
      <c r="J128" s="199"/>
      <c r="K128" s="199"/>
      <c r="L128" s="199"/>
      <c r="M128" s="199"/>
      <c r="N128" s="199"/>
    </row>
    <row r="129" spans="1:14" s="200" customFormat="1">
      <c r="A129" s="199"/>
      <c r="B129" s="199"/>
      <c r="C129" s="199"/>
      <c r="D129" s="199"/>
      <c r="E129" s="199"/>
      <c r="F129" s="199"/>
      <c r="G129" s="199"/>
      <c r="H129" s="199"/>
      <c r="I129" s="199"/>
      <c r="J129" s="199"/>
      <c r="K129" s="199"/>
      <c r="L129" s="199"/>
      <c r="M129" s="199"/>
      <c r="N129" s="199"/>
    </row>
    <row r="130" spans="1:14" s="200" customFormat="1">
      <c r="A130" s="199"/>
      <c r="B130" s="199"/>
      <c r="C130" s="199"/>
      <c r="D130" s="199"/>
      <c r="E130" s="199"/>
      <c r="F130" s="199"/>
      <c r="G130" s="199"/>
      <c r="H130" s="199"/>
      <c r="I130" s="199"/>
      <c r="J130" s="199"/>
      <c r="K130" s="199"/>
      <c r="L130" s="199"/>
      <c r="M130" s="199"/>
      <c r="N130" s="199"/>
    </row>
    <row r="131" spans="1:14" s="200" customFormat="1">
      <c r="A131" s="199"/>
      <c r="B131" s="199"/>
      <c r="C131" s="199"/>
      <c r="D131" s="199"/>
      <c r="E131" s="199"/>
      <c r="F131" s="199"/>
      <c r="G131" s="199"/>
      <c r="H131" s="199"/>
      <c r="I131" s="199"/>
      <c r="J131" s="199"/>
      <c r="K131" s="199"/>
      <c r="L131" s="199"/>
      <c r="M131" s="199"/>
      <c r="N131" s="199"/>
    </row>
    <row r="132" spans="1:14" s="200" customFormat="1">
      <c r="A132" s="199"/>
      <c r="B132" s="199"/>
      <c r="C132" s="199"/>
      <c r="D132" s="199"/>
      <c r="E132" s="199"/>
      <c r="F132" s="199"/>
      <c r="G132" s="199"/>
      <c r="H132" s="199"/>
      <c r="I132" s="199"/>
      <c r="J132" s="199"/>
      <c r="K132" s="199"/>
      <c r="L132" s="199"/>
      <c r="M132" s="199"/>
      <c r="N132" s="199"/>
    </row>
    <row r="133" spans="1:14" s="200" customFormat="1">
      <c r="A133" s="199"/>
      <c r="B133" s="199"/>
      <c r="C133" s="199"/>
      <c r="D133" s="199"/>
      <c r="E133" s="199"/>
      <c r="F133" s="199"/>
      <c r="G133" s="199"/>
      <c r="H133" s="199"/>
      <c r="I133" s="199"/>
      <c r="J133" s="199"/>
      <c r="K133" s="199"/>
      <c r="L133" s="199"/>
      <c r="M133" s="199"/>
      <c r="N133" s="199"/>
    </row>
    <row r="134" spans="1:14" s="200" customFormat="1">
      <c r="A134" s="199"/>
      <c r="B134" s="199"/>
      <c r="C134" s="199"/>
      <c r="D134" s="199"/>
      <c r="E134" s="199"/>
      <c r="F134" s="199"/>
      <c r="G134" s="199"/>
      <c r="H134" s="199"/>
      <c r="I134" s="199"/>
      <c r="J134" s="199"/>
      <c r="K134" s="199"/>
      <c r="L134" s="199"/>
      <c r="M134" s="199"/>
      <c r="N134" s="199"/>
    </row>
    <row r="135" spans="1:14" s="200" customFormat="1">
      <c r="A135" s="199"/>
      <c r="B135" s="199"/>
      <c r="C135" s="199"/>
      <c r="D135" s="199"/>
      <c r="E135" s="199"/>
      <c r="F135" s="199"/>
      <c r="G135" s="199"/>
      <c r="H135" s="199"/>
      <c r="I135" s="199"/>
      <c r="J135" s="199"/>
      <c r="K135" s="199"/>
      <c r="L135" s="199"/>
      <c r="M135" s="199"/>
      <c r="N135" s="199"/>
    </row>
    <row r="136" spans="1:14" s="200" customFormat="1">
      <c r="A136" s="199"/>
      <c r="B136" s="199"/>
      <c r="C136" s="199"/>
      <c r="D136" s="199"/>
      <c r="E136" s="199"/>
      <c r="F136" s="199"/>
      <c r="G136" s="199"/>
      <c r="H136" s="199"/>
      <c r="I136" s="199"/>
      <c r="J136" s="199"/>
      <c r="K136" s="199"/>
      <c r="L136" s="199"/>
      <c r="M136" s="199"/>
      <c r="N136" s="199"/>
    </row>
    <row r="137" spans="1:14" s="200" customFormat="1">
      <c r="A137" s="199"/>
      <c r="B137" s="199"/>
      <c r="C137" s="199"/>
      <c r="D137" s="199"/>
      <c r="E137" s="199"/>
      <c r="F137" s="199"/>
      <c r="G137" s="199"/>
      <c r="H137" s="199"/>
      <c r="I137" s="199"/>
      <c r="J137" s="199"/>
      <c r="K137" s="199"/>
      <c r="L137" s="199"/>
      <c r="M137" s="199"/>
      <c r="N137" s="199"/>
    </row>
    <row r="138" spans="1:14">
      <c r="A138" s="20"/>
      <c r="B138" s="20"/>
      <c r="C138" s="20"/>
      <c r="D138" s="20"/>
      <c r="E138" s="20"/>
      <c r="F138" s="20"/>
      <c r="G138" s="20"/>
      <c r="H138" s="20"/>
      <c r="I138" s="20"/>
      <c r="J138" s="20"/>
      <c r="K138" s="20"/>
      <c r="L138" s="20"/>
      <c r="M138" s="20"/>
      <c r="N138" s="20"/>
    </row>
    <row r="139" spans="1:14">
      <c r="A139" s="20"/>
      <c r="B139" s="20"/>
      <c r="C139" s="20"/>
      <c r="D139" s="20"/>
      <c r="E139" s="20"/>
      <c r="F139" s="20"/>
      <c r="G139" s="20"/>
      <c r="H139" s="20"/>
      <c r="I139" s="20"/>
      <c r="J139" s="20"/>
      <c r="K139" s="20"/>
      <c r="L139" s="20"/>
      <c r="M139" s="20"/>
      <c r="N139" s="20"/>
    </row>
    <row r="140" spans="1:14">
      <c r="A140" s="20"/>
      <c r="B140" s="20"/>
      <c r="C140" s="20"/>
      <c r="D140" s="20"/>
      <c r="E140" s="20"/>
      <c r="F140" s="20"/>
      <c r="G140" s="20"/>
      <c r="H140" s="20"/>
      <c r="I140" s="20"/>
      <c r="J140" s="20"/>
      <c r="K140" s="20"/>
      <c r="L140" s="20"/>
      <c r="M140" s="20"/>
      <c r="N140" s="20"/>
    </row>
    <row r="141" spans="1:14">
      <c r="A141" s="20"/>
      <c r="B141" s="20"/>
      <c r="C141" s="20"/>
      <c r="D141" s="20"/>
      <c r="E141" s="20"/>
      <c r="F141" s="20"/>
      <c r="G141" s="20"/>
      <c r="H141" s="20"/>
      <c r="I141" s="20"/>
      <c r="J141" s="20"/>
      <c r="K141" s="20"/>
      <c r="L141" s="20"/>
      <c r="M141" s="20"/>
      <c r="N141" s="20"/>
    </row>
    <row r="142" spans="1:14">
      <c r="A142" s="20"/>
      <c r="B142" s="20"/>
      <c r="C142" s="20"/>
      <c r="D142" s="20"/>
      <c r="E142" s="20"/>
      <c r="F142" s="20"/>
      <c r="G142" s="20"/>
      <c r="H142" s="20"/>
      <c r="I142" s="20"/>
      <c r="J142" s="20"/>
      <c r="K142" s="20"/>
      <c r="L142" s="20"/>
      <c r="M142" s="20"/>
      <c r="N142" s="20"/>
    </row>
    <row r="143" spans="1:14">
      <c r="A143" s="20"/>
      <c r="B143" s="20"/>
      <c r="C143" s="20"/>
      <c r="D143" s="20"/>
      <c r="E143" s="20"/>
      <c r="F143" s="20"/>
      <c r="G143" s="20"/>
      <c r="H143" s="20"/>
      <c r="I143" s="20"/>
      <c r="J143" s="20"/>
      <c r="K143" s="20"/>
      <c r="L143" s="20"/>
      <c r="M143" s="20"/>
      <c r="N143" s="20"/>
    </row>
    <row r="144" spans="1:14">
      <c r="A144" s="20"/>
      <c r="B144" s="20"/>
      <c r="C144" s="20"/>
      <c r="D144" s="20"/>
      <c r="E144" s="20"/>
      <c r="F144" s="20"/>
      <c r="G144" s="20"/>
      <c r="H144" s="20"/>
      <c r="I144" s="20"/>
      <c r="J144" s="20"/>
      <c r="K144" s="20"/>
      <c r="L144" s="20"/>
      <c r="M144" s="20"/>
      <c r="N144" s="20"/>
    </row>
    <row r="145" spans="1:14">
      <c r="A145" s="20"/>
      <c r="B145" s="20"/>
      <c r="C145" s="20"/>
      <c r="D145" s="20"/>
      <c r="E145" s="20"/>
      <c r="F145" s="20"/>
      <c r="G145" s="20"/>
      <c r="H145" s="20"/>
      <c r="I145" s="20"/>
      <c r="J145" s="20"/>
      <c r="K145" s="20"/>
      <c r="L145" s="20"/>
      <c r="M145" s="20"/>
      <c r="N145" s="20"/>
    </row>
  </sheetData>
  <mergeCells count="19">
    <mergeCell ref="A60:C60"/>
    <mergeCell ref="D60:V60"/>
    <mergeCell ref="A63:C63"/>
    <mergeCell ref="D63:V63"/>
    <mergeCell ref="A72:C72"/>
    <mergeCell ref="D72:V72"/>
    <mergeCell ref="D30:V30"/>
    <mergeCell ref="D39:V39"/>
    <mergeCell ref="D53:V53"/>
    <mergeCell ref="A56:C56"/>
    <mergeCell ref="D56:V56"/>
    <mergeCell ref="A30:C30"/>
    <mergeCell ref="A39:C39"/>
    <mergeCell ref="D20:V20"/>
    <mergeCell ref="A23:C23"/>
    <mergeCell ref="A27:C27"/>
    <mergeCell ref="D23:V23"/>
    <mergeCell ref="F10:G11"/>
    <mergeCell ref="D27:V27"/>
  </mergeCells>
  <conditionalFormatting sqref="D57:V59 D61:V62 D64:V71 D73:V73">
    <cfRule type="expression" dxfId="7" priority="2">
      <formula>$C57&lt;&gt;"Libre"</formula>
    </cfRule>
  </conditionalFormatting>
  <conditionalFormatting sqref="D24:V40">
    <cfRule type="cellIs" dxfId="6" priority="1" operator="equal">
      <formula>0</formula>
    </cfRule>
  </conditionalFormatting>
  <dataValidations count="1">
    <dataValidation type="list" allowBlank="1" showInputMessage="1" showErrorMessage="1" sqref="C24:C26 C28:C29 C31:C38 C40">
      <formula1>cle_de_repartition</formula1>
    </dataValidation>
  </dataValidations>
  <hyperlinks>
    <hyperlink ref="F10:G11" location="'Sommaire général'!A1" display="Sommaire"/>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4"/>
  <sheetViews>
    <sheetView workbookViewId="0">
      <selection activeCell="F14" sqref="F14"/>
    </sheetView>
  </sheetViews>
  <sheetFormatPr baseColWidth="10" defaultRowHeight="15"/>
  <cols>
    <col min="1" max="1" width="2.85546875" customWidth="1"/>
    <col min="2" max="2" width="15.85546875" customWidth="1"/>
    <col min="3" max="3" width="5.28515625" customWidth="1"/>
    <col min="4" max="4" width="30" bestFit="1" customWidth="1"/>
    <col min="5" max="5" width="36" bestFit="1" customWidth="1"/>
    <col min="6" max="6" width="22.42578125" customWidth="1"/>
    <col min="7" max="7" width="18.7109375" hidden="1" customWidth="1"/>
    <col min="8" max="8" width="22.7109375" customWidth="1"/>
    <col min="9" max="9" width="21.7109375" bestFit="1" customWidth="1"/>
    <col min="10" max="10" width="17.85546875" bestFit="1" customWidth="1"/>
  </cols>
  <sheetData>
    <row r="1" spans="2:30" ht="21">
      <c r="B1" s="1"/>
      <c r="C1" s="1"/>
      <c r="D1" s="1"/>
      <c r="E1" s="1"/>
      <c r="F1" s="1"/>
      <c r="G1" s="1"/>
      <c r="H1" s="2"/>
      <c r="I1" s="2"/>
      <c r="J1" s="2"/>
      <c r="K1" s="14"/>
      <c r="L1" s="14"/>
      <c r="M1" s="14"/>
      <c r="N1" s="14"/>
      <c r="O1" s="14"/>
    </row>
    <row r="2" spans="2:30">
      <c r="B2" s="3"/>
      <c r="C2" s="3"/>
      <c r="D2" s="3"/>
      <c r="E2" s="3"/>
      <c r="F2" s="3"/>
      <c r="G2" s="3"/>
      <c r="H2" s="4"/>
      <c r="I2" s="4"/>
      <c r="J2" s="4"/>
      <c r="K2" s="15"/>
      <c r="L2" s="16"/>
      <c r="M2" s="16"/>
      <c r="N2" s="16"/>
      <c r="O2" s="16"/>
    </row>
    <row r="3" spans="2:30">
      <c r="B3" s="3"/>
      <c r="C3" s="3"/>
      <c r="D3" s="3"/>
      <c r="E3" s="3"/>
      <c r="F3" s="3"/>
      <c r="G3" s="3"/>
      <c r="H3" s="4"/>
      <c r="I3" s="4"/>
      <c r="J3" s="4"/>
      <c r="K3" s="4"/>
      <c r="L3" s="4"/>
      <c r="M3" s="4"/>
      <c r="N3" s="4"/>
      <c r="O3" s="4"/>
    </row>
    <row r="4" spans="2:30">
      <c r="B4" s="3" t="s">
        <v>0</v>
      </c>
      <c r="C4" s="3"/>
      <c r="D4" s="3"/>
      <c r="E4" s="3"/>
      <c r="F4" s="3"/>
      <c r="G4" s="3"/>
      <c r="H4" s="5"/>
      <c r="I4" s="4"/>
      <c r="J4" s="3"/>
      <c r="K4" s="6" t="s">
        <v>1</v>
      </c>
      <c r="L4" s="7"/>
      <c r="M4" s="7"/>
      <c r="N4" s="7"/>
      <c r="O4" s="3"/>
    </row>
    <row r="5" spans="2:30">
      <c r="B5" s="3" t="s">
        <v>2</v>
      </c>
      <c r="C5" s="3"/>
      <c r="D5" s="3"/>
      <c r="E5" s="3"/>
      <c r="F5" s="3"/>
      <c r="G5" s="3"/>
      <c r="H5" s="8"/>
      <c r="I5" s="4"/>
      <c r="J5" s="4"/>
      <c r="K5" s="6" t="s">
        <v>3</v>
      </c>
      <c r="L5" s="9"/>
      <c r="M5" s="9"/>
      <c r="N5" s="9"/>
      <c r="O5" s="3"/>
    </row>
    <row r="6" spans="2:30">
      <c r="B6" s="3" t="s">
        <v>4</v>
      </c>
      <c r="C6" s="3"/>
      <c r="D6" s="3"/>
      <c r="E6" s="3"/>
      <c r="F6" s="3"/>
      <c r="G6" s="3"/>
      <c r="H6" s="10"/>
      <c r="I6" s="4"/>
      <c r="J6" s="4"/>
      <c r="K6" s="6"/>
      <c r="L6" s="7"/>
      <c r="M6" s="7"/>
      <c r="N6" s="7"/>
      <c r="O6" s="3"/>
    </row>
    <row r="7" spans="2:30">
      <c r="B7" s="3" t="s">
        <v>5</v>
      </c>
      <c r="C7" s="3"/>
      <c r="D7" s="3"/>
      <c r="E7" s="3"/>
      <c r="F7" s="3"/>
      <c r="G7" s="3"/>
      <c r="H7" s="11"/>
      <c r="I7" s="4"/>
      <c r="J7" s="4"/>
      <c r="K7" s="6" t="s">
        <v>6</v>
      </c>
      <c r="L7" s="7"/>
      <c r="M7" s="7"/>
      <c r="N7" s="7"/>
      <c r="O7" s="3"/>
    </row>
    <row r="8" spans="2:30">
      <c r="B8" s="3" t="s">
        <v>132</v>
      </c>
      <c r="C8" s="3"/>
      <c r="D8" s="3"/>
      <c r="E8" s="12"/>
      <c r="F8" s="3"/>
      <c r="G8" s="3"/>
      <c r="H8" s="12"/>
      <c r="I8" s="4"/>
      <c r="J8" s="4"/>
      <c r="K8" s="6" t="s">
        <v>3</v>
      </c>
      <c r="L8" s="9"/>
      <c r="M8" s="9"/>
      <c r="N8" s="9"/>
      <c r="O8" s="3"/>
    </row>
    <row r="9" spans="2:30" ht="15.75" thickBot="1">
      <c r="B9" s="13"/>
      <c r="C9" s="13"/>
      <c r="D9" s="13"/>
      <c r="E9" s="13"/>
      <c r="F9" s="13"/>
      <c r="G9" s="13"/>
      <c r="H9" s="13"/>
      <c r="I9" s="13"/>
      <c r="J9" s="13"/>
      <c r="K9" s="13"/>
      <c r="L9" s="13"/>
      <c r="M9" s="13"/>
      <c r="N9" s="13"/>
      <c r="O9" s="13"/>
      <c r="P9" s="119"/>
      <c r="Q9" s="119"/>
      <c r="R9" s="119"/>
      <c r="S9" s="119"/>
      <c r="T9" s="119"/>
      <c r="U9" s="119"/>
      <c r="V9" s="119"/>
      <c r="W9" s="119"/>
      <c r="X9" s="119"/>
      <c r="Y9" s="119"/>
      <c r="Z9" s="119"/>
      <c r="AA9" s="119"/>
      <c r="AB9" s="119"/>
      <c r="AC9" s="119"/>
      <c r="AD9" s="119"/>
    </row>
    <row r="10" spans="2:30">
      <c r="B10" s="3"/>
      <c r="C10" s="3"/>
      <c r="D10" s="3"/>
      <c r="E10" s="3"/>
      <c r="F10" s="3"/>
      <c r="G10" s="3"/>
      <c r="H10" s="4"/>
      <c r="I10" s="4"/>
      <c r="J10" s="369" t="s">
        <v>131</v>
      </c>
      <c r="K10" s="370"/>
      <c r="N10" s="3"/>
      <c r="O10" s="3"/>
    </row>
    <row r="11" spans="2:30" ht="15.75" thickBot="1">
      <c r="B11" s="349"/>
      <c r="C11" s="139"/>
      <c r="D11" s="139"/>
      <c r="E11" s="139"/>
      <c r="F11" s="139"/>
      <c r="G11" s="139"/>
      <c r="H11" s="20"/>
      <c r="I11" s="20"/>
      <c r="J11" s="371"/>
      <c r="K11" s="372"/>
      <c r="L11" s="20"/>
    </row>
    <row r="12" spans="2:30" ht="15.75" thickBot="1">
      <c r="B12" s="349"/>
      <c r="C12" s="20"/>
      <c r="D12" s="396" t="s">
        <v>250</v>
      </c>
      <c r="E12" s="397"/>
      <c r="F12" s="397"/>
      <c r="G12" s="397"/>
      <c r="H12" s="398"/>
      <c r="I12" s="358"/>
      <c r="J12" s="20"/>
      <c r="K12" s="20"/>
      <c r="L12" s="20"/>
    </row>
    <row r="13" spans="2:30">
      <c r="B13" s="349"/>
      <c r="C13" s="20"/>
      <c r="D13" s="354"/>
      <c r="E13" s="20"/>
      <c r="F13" s="20"/>
      <c r="G13" s="20"/>
      <c r="H13" s="355"/>
      <c r="I13" s="20"/>
      <c r="J13" s="20"/>
      <c r="K13" s="20"/>
      <c r="L13" s="20"/>
    </row>
    <row r="14" spans="2:30">
      <c r="B14" s="349"/>
      <c r="C14" s="20"/>
      <c r="D14" s="399" t="s">
        <v>251</v>
      </c>
      <c r="E14" s="395"/>
      <c r="F14" s="350">
        <f>'Calcul de la dotation NMR'!D51</f>
        <v>62475</v>
      </c>
      <c r="G14" s="350"/>
      <c r="H14" s="356"/>
      <c r="I14" s="350"/>
      <c r="J14" s="176"/>
      <c r="K14" s="20"/>
      <c r="L14" s="20"/>
    </row>
    <row r="15" spans="2:30">
      <c r="B15" s="349"/>
      <c r="C15" s="20"/>
      <c r="D15" s="399"/>
      <c r="E15" s="395"/>
      <c r="F15" s="339"/>
      <c r="G15" s="339"/>
      <c r="H15" s="357"/>
      <c r="I15" s="339"/>
      <c r="J15" s="339"/>
      <c r="K15" s="20"/>
      <c r="L15" s="20"/>
    </row>
    <row r="16" spans="2:30">
      <c r="B16" s="349"/>
      <c r="C16" s="20"/>
      <c r="D16" s="399" t="s">
        <v>252</v>
      </c>
      <c r="E16" s="395"/>
      <c r="F16" s="339">
        <f>'Frais de fonctionnement prev'!J26</f>
        <v>1440</v>
      </c>
      <c r="G16" s="339"/>
      <c r="H16" s="357"/>
      <c r="I16" s="339"/>
      <c r="J16" s="339"/>
      <c r="K16" s="20"/>
      <c r="L16" s="20"/>
    </row>
    <row r="17" spans="2:12">
      <c r="B17" s="349"/>
      <c r="C17" s="20"/>
      <c r="D17" s="399"/>
      <c r="E17" s="395"/>
      <c r="F17" s="339"/>
      <c r="G17" s="339"/>
      <c r="H17" s="357"/>
      <c r="I17" s="339"/>
      <c r="J17" s="339"/>
      <c r="K17" s="20"/>
      <c r="L17" s="20"/>
    </row>
    <row r="18" spans="2:12">
      <c r="B18" s="349"/>
      <c r="C18" s="20"/>
      <c r="D18" s="399" t="s">
        <v>253</v>
      </c>
      <c r="E18" s="395"/>
      <c r="F18" s="339">
        <f>'Frais de fonctionnement prev'!H38</f>
        <v>20850.000000000004</v>
      </c>
      <c r="G18" s="339"/>
      <c r="H18" s="357"/>
      <c r="I18" s="339"/>
      <c r="J18" s="339"/>
      <c r="K18" s="20"/>
      <c r="L18" s="20"/>
    </row>
    <row r="19" spans="2:12">
      <c r="B19" s="349"/>
      <c r="C19" s="20"/>
      <c r="D19" s="399"/>
      <c r="E19" s="395"/>
      <c r="F19" s="339"/>
      <c r="G19" s="339"/>
      <c r="H19" s="357"/>
      <c r="I19" s="339"/>
      <c r="J19" s="339"/>
      <c r="K19" s="20"/>
      <c r="L19" s="20"/>
    </row>
    <row r="20" spans="2:12">
      <c r="B20" s="349"/>
      <c r="C20" s="20"/>
      <c r="D20" s="399" t="s">
        <v>263</v>
      </c>
      <c r="E20" s="395"/>
      <c r="F20" s="339">
        <f>'Frais de fonctionnement prev'!E43</f>
        <v>600</v>
      </c>
      <c r="G20" s="339"/>
      <c r="H20" s="357"/>
      <c r="I20" s="339"/>
      <c r="J20" s="339"/>
      <c r="K20" s="20"/>
      <c r="L20" s="20"/>
    </row>
    <row r="21" spans="2:12">
      <c r="B21" s="349"/>
      <c r="C21" s="20"/>
      <c r="D21" s="399"/>
      <c r="E21" s="395"/>
      <c r="F21" s="339"/>
      <c r="G21" s="339"/>
      <c r="H21" s="357"/>
      <c r="I21" s="339"/>
      <c r="J21" s="339"/>
      <c r="K21" s="20"/>
      <c r="L21" s="20"/>
    </row>
    <row r="22" spans="2:12">
      <c r="B22" s="349"/>
      <c r="C22" s="20"/>
      <c r="D22" s="399" t="s">
        <v>245</v>
      </c>
      <c r="E22" s="395"/>
      <c r="F22" s="339">
        <f>'Frais de fonctionnement prev'!E54</f>
        <v>31000</v>
      </c>
      <c r="G22" s="339"/>
      <c r="H22" s="357"/>
      <c r="I22" s="353" t="s">
        <v>255</v>
      </c>
      <c r="J22" s="339"/>
      <c r="K22" s="20"/>
      <c r="L22" s="20"/>
    </row>
    <row r="23" spans="2:12" ht="15.75" thickBot="1">
      <c r="B23" s="349"/>
      <c r="C23" s="20"/>
      <c r="D23" s="399"/>
      <c r="E23" s="395"/>
      <c r="F23" s="339"/>
      <c r="G23" s="339"/>
      <c r="H23" s="356"/>
      <c r="I23" s="339"/>
      <c r="J23" s="339"/>
      <c r="K23" s="20"/>
      <c r="L23" s="20"/>
    </row>
    <row r="24" spans="2:12" ht="15.75" thickBot="1">
      <c r="B24" s="349"/>
      <c r="C24" s="20"/>
      <c r="D24" s="393" t="s">
        <v>254</v>
      </c>
      <c r="E24" s="394"/>
      <c r="F24" s="361">
        <f>F14-F16-F18-F20-F22</f>
        <v>8585</v>
      </c>
      <c r="G24" s="359"/>
      <c r="H24" s="360"/>
      <c r="I24" s="339"/>
      <c r="J24" s="339"/>
      <c r="K24" s="20"/>
      <c r="L24" s="20"/>
    </row>
    <row r="25" spans="2:12">
      <c r="B25" s="349"/>
      <c r="C25" s="20"/>
      <c r="D25" s="395"/>
      <c r="E25" s="395"/>
      <c r="F25" s="339"/>
      <c r="G25" s="339"/>
      <c r="H25" s="339"/>
      <c r="I25" s="339"/>
      <c r="J25" s="339"/>
      <c r="K25" s="20"/>
      <c r="L25" s="20"/>
    </row>
    <row r="26" spans="2:12">
      <c r="B26" s="349"/>
      <c r="C26" s="20"/>
      <c r="D26" s="395"/>
      <c r="E26" s="395"/>
      <c r="F26" s="125"/>
      <c r="G26" s="125"/>
      <c r="H26" s="125"/>
      <c r="I26" s="350"/>
      <c r="J26" s="340"/>
      <c r="K26" s="20"/>
      <c r="L26" s="20"/>
    </row>
    <row r="27" spans="2:12">
      <c r="B27" s="349"/>
      <c r="C27" s="20"/>
      <c r="D27" s="395"/>
      <c r="E27" s="395"/>
      <c r="F27" s="125"/>
      <c r="G27" s="125"/>
      <c r="H27" s="125"/>
      <c r="I27" s="125"/>
      <c r="J27" s="20"/>
      <c r="K27" s="20"/>
      <c r="L27" s="20"/>
    </row>
    <row r="28" spans="2:12">
      <c r="B28" s="349"/>
      <c r="C28" s="20"/>
      <c r="D28" s="299"/>
      <c r="E28" s="20"/>
      <c r="F28" s="125"/>
      <c r="G28" s="125"/>
      <c r="H28" s="125"/>
      <c r="I28" s="125"/>
      <c r="J28" s="20"/>
      <c r="K28" s="20"/>
      <c r="L28" s="20"/>
    </row>
    <row r="29" spans="2:12">
      <c r="B29" s="349"/>
      <c r="C29" s="20"/>
      <c r="D29" s="20"/>
      <c r="E29" s="20"/>
      <c r="F29" s="125"/>
      <c r="G29" s="125"/>
      <c r="H29" s="125"/>
      <c r="I29" s="125"/>
      <c r="J29" s="20"/>
      <c r="K29" s="20"/>
      <c r="L29" s="20"/>
    </row>
    <row r="30" spans="2:12">
      <c r="B30" s="349"/>
      <c r="C30" s="20"/>
      <c r="D30" s="197"/>
      <c r="E30" s="341"/>
      <c r="F30" s="351"/>
      <c r="G30" s="352"/>
      <c r="H30" s="352"/>
      <c r="I30" s="125"/>
      <c r="J30" s="20"/>
      <c r="K30" s="20"/>
      <c r="L30" s="20"/>
    </row>
    <row r="31" spans="2:12">
      <c r="B31" s="349"/>
      <c r="C31" s="20"/>
      <c r="D31" s="126"/>
      <c r="E31" s="125"/>
      <c r="F31" s="342"/>
      <c r="G31" s="20"/>
      <c r="H31" s="125"/>
      <c r="I31" s="20"/>
      <c r="J31" s="20"/>
      <c r="K31" s="20"/>
      <c r="L31" s="20"/>
    </row>
    <row r="32" spans="2:12">
      <c r="B32" s="349"/>
      <c r="C32" s="20"/>
      <c r="D32" s="126"/>
      <c r="E32" s="125"/>
      <c r="F32" s="342"/>
      <c r="G32" s="20"/>
      <c r="H32" s="125"/>
      <c r="I32" s="20"/>
      <c r="J32" s="20"/>
      <c r="K32" s="20"/>
      <c r="L32" s="20"/>
    </row>
    <row r="33" spans="2:12">
      <c r="B33" s="349"/>
      <c r="C33" s="20"/>
      <c r="D33" s="126"/>
      <c r="E33" s="125"/>
      <c r="F33" s="342"/>
      <c r="G33" s="20"/>
      <c r="H33" s="125"/>
      <c r="I33" s="20"/>
      <c r="J33" s="20"/>
      <c r="K33" s="20"/>
      <c r="L33" s="20"/>
    </row>
    <row r="34" spans="2:12">
      <c r="B34" s="349"/>
      <c r="C34" s="20"/>
      <c r="D34" s="126"/>
      <c r="E34" s="125"/>
      <c r="F34" s="342"/>
      <c r="G34" s="20"/>
      <c r="H34" s="125"/>
      <c r="I34" s="20"/>
      <c r="J34" s="20"/>
      <c r="K34" s="20"/>
      <c r="L34" s="20"/>
    </row>
    <row r="35" spans="2:12">
      <c r="B35" s="349"/>
      <c r="C35" s="20"/>
      <c r="D35" s="126"/>
      <c r="E35" s="125"/>
      <c r="F35" s="342"/>
      <c r="G35" s="20"/>
      <c r="H35" s="125"/>
      <c r="I35" s="20"/>
      <c r="J35" s="20"/>
      <c r="K35" s="20"/>
      <c r="L35" s="20"/>
    </row>
    <row r="36" spans="2:12">
      <c r="B36" s="349"/>
      <c r="C36" s="20"/>
      <c r="D36" s="126"/>
      <c r="E36" s="125"/>
      <c r="F36" s="342"/>
      <c r="G36" s="20"/>
      <c r="H36" s="125"/>
      <c r="I36" s="20"/>
      <c r="J36" s="20"/>
      <c r="K36" s="20"/>
      <c r="L36" s="20"/>
    </row>
    <row r="37" spans="2:12">
      <c r="B37" s="349"/>
      <c r="C37" s="20"/>
      <c r="D37" s="126"/>
      <c r="E37" s="125"/>
      <c r="F37" s="342"/>
      <c r="G37" s="20"/>
      <c r="H37" s="125"/>
      <c r="I37" s="20"/>
      <c r="J37" s="20"/>
      <c r="K37" s="20"/>
      <c r="L37" s="20"/>
    </row>
    <row r="38" spans="2:12">
      <c r="B38" s="349"/>
      <c r="C38" s="20"/>
      <c r="D38" s="20"/>
      <c r="E38" s="20"/>
      <c r="F38" s="176"/>
      <c r="G38" s="135"/>
      <c r="H38" s="343"/>
      <c r="I38" s="20"/>
      <c r="J38" s="20"/>
      <c r="K38" s="20"/>
      <c r="L38" s="20"/>
    </row>
    <row r="39" spans="2:12">
      <c r="B39" s="349"/>
      <c r="C39" s="20"/>
      <c r="D39" s="20"/>
      <c r="E39" s="20"/>
      <c r="F39" s="20"/>
      <c r="G39" s="20"/>
      <c r="H39" s="20"/>
      <c r="I39" s="20"/>
      <c r="J39" s="20"/>
      <c r="K39" s="20"/>
      <c r="L39" s="20"/>
    </row>
    <row r="40" spans="2:12" ht="15.75" customHeight="1">
      <c r="B40" s="349"/>
      <c r="C40" s="20"/>
      <c r="D40" s="176"/>
      <c r="E40" s="176"/>
      <c r="F40" s="176"/>
      <c r="G40" s="20"/>
      <c r="H40" s="20"/>
      <c r="I40" s="20"/>
      <c r="J40" s="20"/>
      <c r="K40" s="20"/>
      <c r="L40" s="20"/>
    </row>
    <row r="41" spans="2:12">
      <c r="B41" s="349"/>
      <c r="C41" s="20"/>
      <c r="D41" s="126"/>
      <c r="E41" s="125"/>
      <c r="F41" s="20"/>
      <c r="G41" s="20"/>
      <c r="H41" s="20"/>
      <c r="I41" s="20"/>
      <c r="J41" s="20"/>
      <c r="K41" s="20"/>
      <c r="L41" s="20"/>
    </row>
    <row r="42" spans="2:12">
      <c r="B42" s="349"/>
      <c r="C42" s="20"/>
      <c r="D42" s="126"/>
      <c r="E42" s="125"/>
      <c r="F42" s="20"/>
      <c r="G42" s="20"/>
      <c r="H42" s="20"/>
      <c r="I42" s="20"/>
      <c r="J42" s="20"/>
      <c r="K42" s="20"/>
      <c r="L42" s="20"/>
    </row>
    <row r="43" spans="2:12">
      <c r="B43" s="349"/>
      <c r="C43" s="20"/>
      <c r="D43" s="176"/>
      <c r="E43" s="343"/>
      <c r="F43" s="20"/>
      <c r="G43" s="20"/>
      <c r="H43" s="20"/>
      <c r="I43" s="20"/>
      <c r="J43" s="20"/>
      <c r="K43" s="20"/>
      <c r="L43" s="20"/>
    </row>
    <row r="44" spans="2:12">
      <c r="B44" s="349"/>
      <c r="C44" s="20"/>
      <c r="D44" s="20"/>
      <c r="E44" s="20"/>
      <c r="F44" s="20"/>
      <c r="G44" s="20"/>
      <c r="H44" s="20"/>
      <c r="I44" s="20"/>
      <c r="J44" s="20"/>
      <c r="K44" s="20"/>
      <c r="L44" s="20"/>
    </row>
    <row r="45" spans="2:12">
      <c r="B45" s="349"/>
      <c r="C45" s="20"/>
      <c r="D45" s="20"/>
      <c r="E45" s="20"/>
      <c r="F45" s="20"/>
      <c r="G45" s="20"/>
      <c r="H45" s="20"/>
      <c r="I45" s="20"/>
      <c r="J45" s="20"/>
      <c r="K45" s="20"/>
      <c r="L45" s="20"/>
    </row>
    <row r="46" spans="2:12">
      <c r="B46" s="349"/>
      <c r="C46" s="20"/>
      <c r="D46" s="176"/>
      <c r="E46" s="176"/>
      <c r="F46" s="344"/>
      <c r="G46" s="345"/>
      <c r="H46" s="344"/>
      <c r="I46" s="20"/>
      <c r="J46" s="20"/>
      <c r="K46" s="20"/>
      <c r="L46" s="20"/>
    </row>
    <row r="47" spans="2:12">
      <c r="B47" s="349"/>
      <c r="C47" s="20"/>
      <c r="D47" s="346"/>
      <c r="E47" s="347"/>
      <c r="F47" s="20"/>
      <c r="G47" s="20"/>
      <c r="H47" s="125"/>
      <c r="I47" s="20"/>
      <c r="J47" s="20"/>
      <c r="K47" s="20"/>
      <c r="L47" s="20"/>
    </row>
    <row r="48" spans="2:12">
      <c r="B48" s="349"/>
      <c r="C48" s="20"/>
      <c r="D48" s="346"/>
      <c r="E48" s="347"/>
      <c r="F48" s="20"/>
      <c r="G48" s="20"/>
      <c r="H48" s="125"/>
      <c r="I48" s="20"/>
      <c r="J48" s="20"/>
      <c r="K48" s="20"/>
      <c r="L48" s="20"/>
    </row>
    <row r="49" spans="2:12">
      <c r="B49" s="349"/>
      <c r="C49" s="20"/>
      <c r="D49" s="346"/>
      <c r="E49" s="347"/>
      <c r="F49" s="20"/>
      <c r="G49" s="20"/>
      <c r="H49" s="125"/>
      <c r="I49" s="20"/>
      <c r="J49" s="20"/>
      <c r="K49" s="20"/>
      <c r="L49" s="20"/>
    </row>
    <row r="50" spans="2:12">
      <c r="B50" s="349"/>
      <c r="C50" s="20"/>
      <c r="D50" s="346"/>
      <c r="E50" s="347"/>
      <c r="F50" s="20"/>
      <c r="G50" s="20"/>
      <c r="H50" s="125"/>
      <c r="I50" s="20"/>
      <c r="J50" s="20"/>
      <c r="K50" s="20"/>
      <c r="L50" s="20"/>
    </row>
    <row r="51" spans="2:12">
      <c r="B51" s="349"/>
      <c r="C51" s="20"/>
      <c r="D51" s="346"/>
      <c r="E51" s="347"/>
      <c r="F51" s="20"/>
      <c r="G51" s="20"/>
      <c r="H51" s="125"/>
      <c r="I51" s="20"/>
      <c r="J51" s="20"/>
      <c r="K51" s="20"/>
      <c r="L51" s="20"/>
    </row>
    <row r="52" spans="2:12">
      <c r="B52" s="349"/>
      <c r="C52" s="20"/>
      <c r="D52" s="346"/>
      <c r="E52" s="347"/>
      <c r="F52" s="20"/>
      <c r="G52" s="20"/>
      <c r="H52" s="125"/>
      <c r="I52" s="20"/>
      <c r="J52" s="20"/>
      <c r="K52" s="20"/>
      <c r="L52" s="20"/>
    </row>
    <row r="53" spans="2:12">
      <c r="B53" s="349"/>
      <c r="C53" s="20"/>
      <c r="D53" s="346"/>
      <c r="E53" s="347"/>
      <c r="F53" s="20"/>
      <c r="G53" s="20"/>
      <c r="H53" s="125"/>
      <c r="I53" s="20"/>
      <c r="J53" s="20"/>
      <c r="K53" s="20"/>
      <c r="L53" s="20"/>
    </row>
    <row r="54" spans="2:12">
      <c r="B54" s="349"/>
      <c r="C54" s="20"/>
      <c r="D54" s="176"/>
      <c r="E54" s="343"/>
      <c r="F54" s="20"/>
      <c r="G54" s="20"/>
      <c r="H54" s="348"/>
      <c r="I54" s="20"/>
      <c r="J54" s="20"/>
      <c r="K54" s="20"/>
      <c r="L54" s="20"/>
    </row>
    <row r="55" spans="2:12">
      <c r="B55" s="20"/>
      <c r="C55" s="20"/>
      <c r="D55" s="20"/>
      <c r="E55" s="20"/>
      <c r="F55" s="20"/>
      <c r="G55" s="20"/>
      <c r="H55" s="20"/>
      <c r="I55" s="20"/>
      <c r="J55" s="20"/>
      <c r="K55" s="20"/>
      <c r="L55" s="20"/>
    </row>
    <row r="56" spans="2:12">
      <c r="B56" s="20"/>
      <c r="C56" s="20"/>
      <c r="D56" s="20"/>
      <c r="E56" s="20"/>
      <c r="F56" s="20"/>
      <c r="G56" s="20"/>
      <c r="H56" s="20"/>
      <c r="I56" s="20"/>
      <c r="J56" s="20"/>
      <c r="K56" s="20"/>
      <c r="L56" s="20"/>
    </row>
    <row r="57" spans="2:12">
      <c r="B57" s="20"/>
      <c r="C57" s="20"/>
      <c r="D57" s="20"/>
      <c r="E57" s="20"/>
      <c r="F57" s="20"/>
      <c r="G57" s="20"/>
      <c r="H57" s="20"/>
      <c r="I57" s="20"/>
      <c r="J57" s="20"/>
      <c r="K57" s="20"/>
      <c r="L57" s="20"/>
    </row>
    <row r="58" spans="2:12">
      <c r="E58" s="338"/>
      <c r="F58" s="76"/>
      <c r="G58" s="76"/>
      <c r="H58" s="338"/>
      <c r="I58" s="76"/>
      <c r="J58" s="76"/>
      <c r="K58" s="76"/>
    </row>
    <row r="59" spans="2:12">
      <c r="E59" s="76"/>
      <c r="F59" s="76"/>
      <c r="G59" s="76"/>
      <c r="H59" s="76"/>
      <c r="I59" s="76"/>
      <c r="J59" s="76"/>
      <c r="K59" s="76"/>
    </row>
    <row r="60" spans="2:12">
      <c r="E60" s="338"/>
      <c r="F60" s="76"/>
      <c r="G60" s="76"/>
      <c r="H60" s="338"/>
      <c r="I60" s="76"/>
      <c r="J60" s="338"/>
      <c r="K60" s="76"/>
    </row>
    <row r="61" spans="2:12">
      <c r="E61" s="76"/>
      <c r="F61" s="76"/>
      <c r="G61" s="76"/>
      <c r="H61" s="76"/>
      <c r="I61" s="76"/>
      <c r="J61" s="76"/>
      <c r="K61" s="76"/>
    </row>
    <row r="62" spans="2:12">
      <c r="E62" s="338"/>
      <c r="F62" s="76"/>
      <c r="G62" s="76"/>
      <c r="H62" s="76"/>
      <c r="I62" s="76"/>
      <c r="J62" s="76"/>
      <c r="K62" s="76"/>
    </row>
    <row r="63" spans="2:12">
      <c r="E63" s="76"/>
      <c r="F63" s="76"/>
      <c r="G63" s="76"/>
      <c r="H63" s="76"/>
      <c r="I63" s="76"/>
      <c r="J63" s="76"/>
      <c r="K63" s="76"/>
    </row>
    <row r="64" spans="2:12">
      <c r="F64" s="136"/>
    </row>
  </sheetData>
  <dataConsolidate/>
  <mergeCells count="16">
    <mergeCell ref="J10:K11"/>
    <mergeCell ref="D18:E18"/>
    <mergeCell ref="D19:E19"/>
    <mergeCell ref="D20:E20"/>
    <mergeCell ref="D21:E21"/>
    <mergeCell ref="D14:E14"/>
    <mergeCell ref="D15:E15"/>
    <mergeCell ref="D16:E16"/>
    <mergeCell ref="D17:E17"/>
    <mergeCell ref="D24:E24"/>
    <mergeCell ref="D25:E25"/>
    <mergeCell ref="D26:E26"/>
    <mergeCell ref="D27:E27"/>
    <mergeCell ref="D12:H12"/>
    <mergeCell ref="D22:E22"/>
    <mergeCell ref="D23:E23"/>
  </mergeCells>
  <hyperlinks>
    <hyperlink ref="L10:M10" location="'Sommaire général'!A1" display="Sommaire"/>
    <hyperlink ref="J10:K11" location="'Sommaire général'!A1" display="Sommair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38" sqref="J38"/>
    </sheetView>
  </sheetViews>
  <sheetFormatPr baseColWidth="10" defaultRowHeight="15"/>
  <cols>
    <col min="1" max="1" width="25.42578125" bestFit="1" customWidth="1"/>
  </cols>
  <sheetData>
    <row r="1" spans="1:1">
      <c r="A1" s="17" t="s">
        <v>180</v>
      </c>
    </row>
    <row r="2" spans="1:1">
      <c r="A2" t="s">
        <v>183</v>
      </c>
    </row>
    <row r="3" spans="1:1">
      <c r="A3" t="s">
        <v>181</v>
      </c>
    </row>
    <row r="4" spans="1:1">
      <c r="A4" t="s">
        <v>182</v>
      </c>
    </row>
  </sheetData>
  <sortState ref="A2:A4">
    <sortCondition ref="A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workbookViewId="0">
      <selection activeCell="F10" sqref="F10:G11"/>
    </sheetView>
  </sheetViews>
  <sheetFormatPr baseColWidth="10" defaultRowHeight="15"/>
  <cols>
    <col min="1" max="1" width="30.5703125" bestFit="1" customWidth="1"/>
    <col min="2" max="2" width="34" customWidth="1"/>
    <col min="3" max="3" width="30.28515625" customWidth="1"/>
    <col min="4" max="4" width="15.42578125" bestFit="1" customWidth="1"/>
    <col min="5" max="5" width="21.42578125" bestFit="1" customWidth="1"/>
  </cols>
  <sheetData>
    <row r="1" spans="1:9" ht="21">
      <c r="A1" s="1"/>
      <c r="B1" s="2"/>
      <c r="C1" s="2"/>
      <c r="D1" s="2"/>
      <c r="E1" s="14"/>
      <c r="F1" s="14"/>
      <c r="G1" s="14"/>
    </row>
    <row r="2" spans="1:9">
      <c r="A2" s="3"/>
      <c r="B2" s="4"/>
      <c r="C2" s="4"/>
      <c r="D2" s="4"/>
      <c r="E2" s="15"/>
      <c r="F2" s="16"/>
      <c r="G2" s="16"/>
    </row>
    <row r="3" spans="1:9">
      <c r="A3" s="3"/>
      <c r="B3" s="4"/>
      <c r="C3" s="4"/>
      <c r="D3" s="4"/>
      <c r="E3" s="4"/>
      <c r="F3" s="4"/>
      <c r="G3" s="4"/>
    </row>
    <row r="4" spans="1:9">
      <c r="A4" s="3" t="s">
        <v>0</v>
      </c>
      <c r="B4" s="5"/>
      <c r="C4" s="4"/>
      <c r="D4" s="3"/>
      <c r="E4" s="6" t="s">
        <v>1</v>
      </c>
      <c r="F4" s="7"/>
      <c r="G4" s="3"/>
    </row>
    <row r="5" spans="1:9">
      <c r="A5" s="3" t="s">
        <v>2</v>
      </c>
      <c r="B5" s="8"/>
      <c r="C5" s="4"/>
      <c r="D5" s="4"/>
      <c r="E5" s="6" t="s">
        <v>3</v>
      </c>
      <c r="F5" s="9"/>
      <c r="G5" s="3"/>
    </row>
    <row r="6" spans="1:9">
      <c r="A6" s="3" t="s">
        <v>4</v>
      </c>
      <c r="B6" s="10"/>
      <c r="C6" s="4"/>
      <c r="D6" s="4"/>
      <c r="E6" s="6"/>
      <c r="F6" s="7"/>
      <c r="G6" s="3"/>
    </row>
    <row r="7" spans="1:9">
      <c r="A7" s="3" t="s">
        <v>5</v>
      </c>
      <c r="B7" s="11"/>
      <c r="C7" s="4"/>
      <c r="D7" s="4"/>
      <c r="E7" s="6" t="s">
        <v>6</v>
      </c>
      <c r="F7" s="7"/>
      <c r="G7" s="3"/>
    </row>
    <row r="8" spans="1:9">
      <c r="A8" s="3" t="s">
        <v>132</v>
      </c>
      <c r="B8" s="12" t="s">
        <v>137</v>
      </c>
      <c r="C8" s="4"/>
      <c r="D8" s="4"/>
      <c r="E8" s="6" t="s">
        <v>3</v>
      </c>
      <c r="F8" s="9"/>
      <c r="G8" s="3"/>
    </row>
    <row r="9" spans="1:9" ht="15.75" thickBot="1">
      <c r="A9" s="13"/>
      <c r="B9" s="13"/>
      <c r="C9" s="13"/>
      <c r="D9" s="13"/>
      <c r="E9" s="13"/>
      <c r="F9" s="13"/>
      <c r="G9" s="13"/>
      <c r="H9" s="119"/>
      <c r="I9" s="119"/>
    </row>
    <row r="10" spans="1:9">
      <c r="A10" s="3"/>
      <c r="B10" s="4"/>
      <c r="C10" s="4"/>
      <c r="D10" s="4"/>
      <c r="E10" s="4"/>
      <c r="F10" s="369" t="s">
        <v>131</v>
      </c>
      <c r="G10" s="370"/>
    </row>
    <row r="11" spans="1:9" ht="15.75" thickBot="1">
      <c r="A11" s="118" t="s">
        <v>134</v>
      </c>
      <c r="F11" s="371"/>
      <c r="G11" s="372"/>
    </row>
    <row r="15" spans="1:9">
      <c r="A15" s="118" t="s">
        <v>133</v>
      </c>
      <c r="C15" t="str">
        <f>+'Fiche d''identification'!E13</f>
        <v>Impôt sur le revenu</v>
      </c>
      <c r="E15" s="120"/>
    </row>
    <row r="16" spans="1:9">
      <c r="C16" t="str">
        <f>+'Fiche d''identification'!E16</f>
        <v>IR - Trésorerie</v>
      </c>
    </row>
    <row r="18" spans="1:13">
      <c r="A18" s="148" t="s">
        <v>161</v>
      </c>
      <c r="C18" s="18">
        <v>12</v>
      </c>
      <c r="D18" t="s">
        <v>160</v>
      </c>
    </row>
    <row r="21" spans="1:13">
      <c r="A21" s="148" t="s">
        <v>138</v>
      </c>
      <c r="C21" s="121">
        <f>'Rémunérations des pros'!C16-SUM('Rémunérations des pros'!D49:V49)</f>
        <v>17</v>
      </c>
    </row>
    <row r="22" spans="1:13">
      <c r="A22" s="139"/>
      <c r="B22" s="20"/>
      <c r="C22" s="20"/>
      <c r="D22" s="20"/>
      <c r="E22" s="20"/>
      <c r="F22" s="20"/>
      <c r="G22" s="20"/>
      <c r="H22" s="20"/>
      <c r="I22" s="20"/>
      <c r="J22" s="20"/>
      <c r="K22" s="20"/>
      <c r="L22" s="20"/>
      <c r="M22" s="20"/>
    </row>
    <row r="23" spans="1:13">
      <c r="A23" s="20"/>
      <c r="B23" s="20"/>
      <c r="C23" s="20"/>
      <c r="D23" s="20"/>
      <c r="E23" s="20"/>
      <c r="F23" s="20"/>
      <c r="G23" s="20"/>
      <c r="H23" s="20"/>
      <c r="I23" s="20"/>
      <c r="J23" s="20"/>
      <c r="K23" s="20"/>
      <c r="L23" s="20"/>
      <c r="M23" s="20"/>
    </row>
    <row r="24" spans="1:13">
      <c r="A24" s="150" t="s">
        <v>139</v>
      </c>
      <c r="B24" s="20"/>
      <c r="C24" s="135" t="s">
        <v>140</v>
      </c>
      <c r="D24" s="151" t="s">
        <v>136</v>
      </c>
      <c r="E24" s="20"/>
      <c r="F24" s="140"/>
      <c r="G24" s="20"/>
      <c r="H24" s="20"/>
      <c r="I24" s="20"/>
      <c r="J24" s="20"/>
      <c r="K24" s="20"/>
      <c r="L24" s="20"/>
      <c r="M24" s="20"/>
    </row>
    <row r="25" spans="1:13">
      <c r="A25" s="20"/>
      <c r="B25" s="20"/>
      <c r="C25" s="20"/>
      <c r="D25" s="125"/>
      <c r="E25" s="20"/>
      <c r="F25" s="20"/>
      <c r="G25" s="20"/>
      <c r="H25" s="20"/>
      <c r="I25" s="20"/>
      <c r="J25" s="20"/>
      <c r="K25" s="20"/>
      <c r="L25" s="20"/>
      <c r="M25" s="20"/>
    </row>
    <row r="26" spans="1:13">
      <c r="A26" s="20"/>
      <c r="B26" s="126" t="s">
        <v>141</v>
      </c>
      <c r="C26" s="152"/>
      <c r="D26" s="152"/>
      <c r="E26" s="20"/>
      <c r="F26" s="20"/>
      <c r="G26" s="20"/>
      <c r="H26" s="20"/>
      <c r="I26" s="20"/>
      <c r="J26" s="20"/>
      <c r="K26" s="20"/>
      <c r="L26" s="20"/>
      <c r="M26" s="20"/>
    </row>
    <row r="27" spans="1:13">
      <c r="A27" s="20"/>
      <c r="B27" s="126" t="s">
        <v>142</v>
      </c>
      <c r="C27" s="153"/>
      <c r="D27" s="153"/>
      <c r="E27" s="20"/>
      <c r="F27" s="20"/>
      <c r="G27" s="20"/>
      <c r="H27" s="20"/>
      <c r="I27" s="20"/>
      <c r="J27" s="20"/>
      <c r="K27" s="20"/>
      <c r="L27" s="20"/>
      <c r="M27" s="20"/>
    </row>
    <row r="28" spans="1:13">
      <c r="A28" s="20"/>
      <c r="B28" s="126" t="s">
        <v>143</v>
      </c>
      <c r="C28" s="153"/>
      <c r="D28" s="153"/>
      <c r="E28" s="20"/>
      <c r="F28" s="20"/>
      <c r="G28" s="20"/>
      <c r="H28" s="20"/>
      <c r="I28" s="20"/>
      <c r="J28" s="20"/>
      <c r="K28" s="20"/>
      <c r="L28" s="20"/>
      <c r="M28" s="20"/>
    </row>
    <row r="29" spans="1:13">
      <c r="A29" s="20"/>
      <c r="B29" s="126" t="s">
        <v>144</v>
      </c>
      <c r="C29" s="153"/>
      <c r="D29" s="153"/>
      <c r="E29" s="20"/>
      <c r="F29" s="20"/>
      <c r="G29" s="20"/>
      <c r="H29" s="20"/>
      <c r="I29" s="20"/>
      <c r="J29" s="20"/>
      <c r="K29" s="20"/>
      <c r="L29" s="20"/>
      <c r="M29" s="20"/>
    </row>
    <row r="30" spans="1:13">
      <c r="A30" s="20"/>
      <c r="B30" s="126" t="s">
        <v>145</v>
      </c>
      <c r="C30" s="153"/>
      <c r="D30" s="154"/>
      <c r="E30" s="20"/>
      <c r="F30" s="141"/>
      <c r="G30" s="20"/>
      <c r="H30" s="20"/>
      <c r="I30" s="20"/>
      <c r="J30" s="20"/>
      <c r="K30" s="20"/>
      <c r="L30" s="20"/>
      <c r="M30" s="20"/>
    </row>
    <row r="31" spans="1:13">
      <c r="A31" s="20"/>
      <c r="B31" s="126" t="s">
        <v>146</v>
      </c>
      <c r="C31" s="153"/>
      <c r="D31" s="132"/>
      <c r="E31" s="20"/>
      <c r="F31" s="20"/>
      <c r="G31" s="20"/>
      <c r="H31" s="20"/>
      <c r="I31" s="20"/>
      <c r="J31" s="20"/>
      <c r="K31" s="20"/>
      <c r="L31" s="20"/>
      <c r="M31" s="20"/>
    </row>
    <row r="32" spans="1:13">
      <c r="A32" s="20"/>
      <c r="B32" s="126" t="s">
        <v>147</v>
      </c>
      <c r="C32" s="155"/>
      <c r="D32" s="133"/>
      <c r="E32" s="20"/>
      <c r="F32" s="20"/>
      <c r="G32" s="20"/>
      <c r="H32" s="20"/>
      <c r="I32" s="20"/>
      <c r="J32" s="20"/>
      <c r="K32" s="20"/>
      <c r="L32" s="20"/>
      <c r="M32" s="20"/>
    </row>
    <row r="33" spans="1:13">
      <c r="A33" s="20"/>
      <c r="B33" s="20"/>
      <c r="C33" s="20"/>
      <c r="D33" s="20"/>
      <c r="E33" s="20"/>
      <c r="F33" s="20"/>
      <c r="G33" s="20"/>
      <c r="H33" s="20"/>
      <c r="I33" s="20"/>
      <c r="J33" s="20"/>
      <c r="K33" s="20"/>
      <c r="L33" s="20"/>
      <c r="M33" s="20"/>
    </row>
    <row r="34" spans="1:13">
      <c r="A34" s="139"/>
      <c r="B34" s="126" t="s">
        <v>148</v>
      </c>
      <c r="C34" s="156">
        <f>SUM(C26:C32)</f>
        <v>0</v>
      </c>
      <c r="D34" s="20"/>
      <c r="E34" s="20"/>
      <c r="F34" s="20"/>
      <c r="G34" s="20"/>
      <c r="H34" s="20"/>
      <c r="I34" s="20"/>
      <c r="J34" s="20"/>
      <c r="K34" s="20"/>
      <c r="L34" s="20"/>
      <c r="M34" s="20"/>
    </row>
    <row r="35" spans="1:13">
      <c r="A35" s="20"/>
      <c r="B35" s="20"/>
      <c r="C35" s="20"/>
      <c r="D35" s="20"/>
      <c r="E35" s="20"/>
      <c r="F35" s="20"/>
      <c r="G35" s="20"/>
      <c r="H35" s="20"/>
      <c r="I35" s="20"/>
      <c r="J35" s="20"/>
      <c r="K35" s="20"/>
      <c r="L35" s="20"/>
      <c r="M35" s="20"/>
    </row>
    <row r="36" spans="1:13">
      <c r="A36" s="126"/>
      <c r="B36" s="126"/>
      <c r="C36" s="125"/>
      <c r="D36" s="20"/>
      <c r="E36" s="142"/>
      <c r="F36" s="20"/>
      <c r="G36" s="20"/>
      <c r="H36" s="20"/>
      <c r="I36" s="20"/>
      <c r="J36" s="20"/>
      <c r="K36" s="20"/>
      <c r="L36" s="20"/>
      <c r="M36" s="20"/>
    </row>
    <row r="37" spans="1:13">
      <c r="A37" s="150" t="s">
        <v>149</v>
      </c>
      <c r="B37" s="20"/>
      <c r="C37" s="135" t="s">
        <v>140</v>
      </c>
      <c r="D37" s="151" t="s">
        <v>136</v>
      </c>
      <c r="E37" s="20"/>
      <c r="F37" s="20"/>
      <c r="G37" s="20"/>
      <c r="H37" s="20"/>
      <c r="I37" s="20"/>
      <c r="J37" s="20"/>
      <c r="K37" s="20"/>
      <c r="L37" s="20"/>
      <c r="M37" s="20"/>
    </row>
    <row r="38" spans="1:13">
      <c r="A38" s="20"/>
      <c r="B38" s="20"/>
      <c r="C38" s="20"/>
      <c r="D38" s="125"/>
      <c r="E38" s="20"/>
      <c r="F38" s="20"/>
      <c r="G38" s="20"/>
      <c r="H38" s="20"/>
      <c r="I38" s="20"/>
      <c r="J38" s="20"/>
      <c r="K38" s="20"/>
      <c r="L38" s="20"/>
      <c r="M38" s="20"/>
    </row>
    <row r="39" spans="1:13">
      <c r="A39" s="20"/>
      <c r="B39" s="126" t="s">
        <v>151</v>
      </c>
      <c r="C39" s="152"/>
      <c r="D39" s="152"/>
      <c r="E39" s="20"/>
      <c r="F39" s="20"/>
      <c r="G39" s="20"/>
      <c r="H39" s="20"/>
      <c r="I39" s="20"/>
      <c r="J39" s="20"/>
      <c r="K39" s="20"/>
      <c r="L39" s="20"/>
      <c r="M39" s="20"/>
    </row>
    <row r="40" spans="1:13">
      <c r="A40" s="20"/>
      <c r="B40" s="126" t="s">
        <v>152</v>
      </c>
      <c r="C40" s="153"/>
      <c r="D40" s="153"/>
      <c r="E40" s="20"/>
      <c r="F40" s="20"/>
      <c r="G40" s="20"/>
      <c r="H40" s="20"/>
      <c r="I40" s="20"/>
      <c r="J40" s="20"/>
      <c r="K40" s="20"/>
      <c r="L40" s="20"/>
      <c r="M40" s="20"/>
    </row>
    <row r="41" spans="1:13">
      <c r="A41" s="20"/>
      <c r="B41" s="126" t="s">
        <v>153</v>
      </c>
      <c r="C41" s="153"/>
      <c r="D41" s="153"/>
      <c r="E41" s="20"/>
      <c r="F41" s="20"/>
      <c r="G41" s="20"/>
      <c r="H41" s="20"/>
      <c r="I41" s="20"/>
      <c r="J41" s="20"/>
      <c r="K41" s="20"/>
      <c r="L41" s="20"/>
      <c r="M41" s="20"/>
    </row>
    <row r="42" spans="1:13">
      <c r="A42" s="20"/>
      <c r="B42" s="126"/>
      <c r="C42" s="153"/>
      <c r="D42" s="153"/>
      <c r="E42" s="20"/>
      <c r="F42" s="20"/>
      <c r="G42" s="20"/>
      <c r="H42" s="20"/>
      <c r="I42" s="20"/>
      <c r="J42" s="20"/>
      <c r="K42" s="20"/>
      <c r="L42" s="20"/>
      <c r="M42" s="20"/>
    </row>
    <row r="43" spans="1:13">
      <c r="A43" s="20"/>
      <c r="B43" s="126"/>
      <c r="C43" s="153"/>
      <c r="D43" s="154"/>
      <c r="E43" s="20"/>
      <c r="F43" s="20"/>
      <c r="G43" s="20"/>
      <c r="H43" s="20"/>
      <c r="I43" s="20"/>
      <c r="J43" s="20"/>
      <c r="K43" s="20"/>
      <c r="L43" s="20"/>
      <c r="M43" s="20"/>
    </row>
    <row r="44" spans="1:13">
      <c r="A44" s="20"/>
      <c r="B44" s="126"/>
      <c r="C44" s="153"/>
      <c r="D44" s="132"/>
      <c r="E44" s="140"/>
      <c r="F44" s="20"/>
      <c r="G44" s="20"/>
      <c r="H44" s="20"/>
      <c r="I44" s="20"/>
      <c r="J44" s="20"/>
      <c r="K44" s="20"/>
      <c r="L44" s="20"/>
      <c r="M44" s="20"/>
    </row>
    <row r="45" spans="1:13">
      <c r="A45" s="20"/>
      <c r="B45" s="126"/>
      <c r="C45" s="155"/>
      <c r="D45" s="133"/>
      <c r="E45" s="20"/>
      <c r="F45" s="20"/>
      <c r="G45" s="20"/>
      <c r="H45" s="20"/>
      <c r="I45" s="20"/>
      <c r="J45" s="20"/>
      <c r="K45" s="20"/>
      <c r="L45" s="20"/>
      <c r="M45" s="20"/>
    </row>
    <row r="46" spans="1:13">
      <c r="A46" s="20"/>
      <c r="B46" s="20"/>
      <c r="C46" s="20"/>
      <c r="D46" s="20"/>
      <c r="E46" s="20"/>
      <c r="F46" s="20"/>
      <c r="G46" s="20"/>
      <c r="H46" s="20"/>
      <c r="I46" s="20"/>
      <c r="J46" s="20"/>
      <c r="K46" s="20"/>
      <c r="L46" s="20"/>
      <c r="M46" s="20"/>
    </row>
    <row r="47" spans="1:13">
      <c r="A47" s="139"/>
      <c r="B47" s="126" t="s">
        <v>150</v>
      </c>
      <c r="C47" s="156">
        <f>SUM(C39:C45)</f>
        <v>0</v>
      </c>
      <c r="D47" s="20"/>
      <c r="E47" s="20"/>
      <c r="F47" s="20"/>
      <c r="G47" s="20"/>
      <c r="H47" s="20"/>
      <c r="I47" s="20"/>
      <c r="J47" s="20"/>
      <c r="K47" s="20"/>
      <c r="L47" s="20"/>
      <c r="M47" s="20"/>
    </row>
    <row r="48" spans="1:13">
      <c r="A48" s="20"/>
      <c r="B48" s="20"/>
      <c r="C48" s="20"/>
      <c r="D48" s="20"/>
      <c r="E48" s="20"/>
      <c r="F48" s="20"/>
      <c r="G48" s="20"/>
      <c r="H48" s="20"/>
      <c r="I48" s="20"/>
      <c r="J48" s="20"/>
      <c r="K48" s="20"/>
      <c r="L48" s="20"/>
      <c r="M48" s="20"/>
    </row>
    <row r="49" spans="1:13">
      <c r="A49" s="20"/>
      <c r="B49" s="20"/>
      <c r="C49" s="20"/>
      <c r="D49" s="20"/>
      <c r="E49" s="20"/>
      <c r="F49" s="20"/>
      <c r="G49" s="20"/>
      <c r="H49" s="20"/>
      <c r="I49" s="20"/>
      <c r="J49" s="20"/>
      <c r="K49" s="20"/>
      <c r="L49" s="20"/>
      <c r="M49" s="20"/>
    </row>
    <row r="50" spans="1:13">
      <c r="A50" s="20"/>
      <c r="B50" s="20"/>
      <c r="C50" s="20"/>
      <c r="D50" s="20"/>
      <c r="E50" s="20"/>
      <c r="F50" s="20"/>
      <c r="G50" s="20"/>
      <c r="H50" s="20"/>
      <c r="I50" s="20"/>
      <c r="J50" s="20"/>
      <c r="K50" s="20"/>
      <c r="L50" s="20"/>
      <c r="M50" s="20"/>
    </row>
    <row r="51" spans="1:13">
      <c r="B51" s="148" t="s">
        <v>154</v>
      </c>
      <c r="C51" s="157">
        <f>+C21+C34-C47</f>
        <v>17</v>
      </c>
      <c r="D51" s="20"/>
      <c r="E51" s="20"/>
      <c r="F51" s="20"/>
      <c r="G51" s="20"/>
      <c r="H51" s="20"/>
      <c r="I51" s="20"/>
      <c r="J51" s="20"/>
      <c r="K51" s="20"/>
      <c r="L51" s="20"/>
      <c r="M51" s="20"/>
    </row>
    <row r="52" spans="1:13">
      <c r="A52" s="127"/>
      <c r="B52" s="127"/>
      <c r="C52" s="127"/>
      <c r="D52" s="158"/>
      <c r="E52" s="127"/>
      <c r="F52" s="127"/>
      <c r="G52" s="127"/>
      <c r="H52" s="128"/>
      <c r="I52" s="127"/>
      <c r="J52" s="20"/>
      <c r="K52" s="20"/>
      <c r="L52" s="20"/>
      <c r="M52" s="20"/>
    </row>
    <row r="53" spans="1:13" ht="15.75" thickBot="1">
      <c r="A53" s="159"/>
      <c r="B53" s="160"/>
      <c r="C53" s="161"/>
      <c r="D53" s="162"/>
      <c r="E53" s="161"/>
      <c r="F53" s="161"/>
      <c r="G53" s="163"/>
      <c r="H53" s="164"/>
      <c r="I53" s="165"/>
      <c r="J53" s="141"/>
      <c r="K53" s="20"/>
      <c r="L53" s="20"/>
      <c r="M53" s="20"/>
    </row>
    <row r="54" spans="1:13" ht="15.75" thickTop="1">
      <c r="A54" s="129"/>
      <c r="B54" s="130"/>
      <c r="C54" s="143"/>
      <c r="D54" s="158"/>
      <c r="E54" s="143"/>
      <c r="F54" s="143"/>
      <c r="G54" s="144"/>
      <c r="H54" s="145"/>
      <c r="I54" s="146"/>
      <c r="J54" s="141"/>
      <c r="K54" s="20"/>
      <c r="L54" s="20"/>
      <c r="M54" s="20"/>
    </row>
    <row r="55" spans="1:13" ht="16.5">
      <c r="A55" s="129"/>
      <c r="B55" s="166" t="s">
        <v>11</v>
      </c>
      <c r="C55" s="143"/>
      <c r="D55" s="158"/>
      <c r="E55" s="143"/>
      <c r="F55" s="143"/>
      <c r="G55" s="144"/>
      <c r="H55" s="145"/>
      <c r="I55" s="146"/>
      <c r="J55" s="141"/>
      <c r="K55" s="20"/>
      <c r="L55" s="20"/>
      <c r="M55" s="20"/>
    </row>
    <row r="56" spans="1:13">
      <c r="A56" s="129"/>
      <c r="B56" s="130"/>
      <c r="C56" s="143"/>
      <c r="D56" s="158"/>
      <c r="E56" s="192" t="s">
        <v>162</v>
      </c>
      <c r="F56" s="192" t="s">
        <v>163</v>
      </c>
      <c r="G56" s="193" t="s">
        <v>164</v>
      </c>
      <c r="H56" s="194" t="s">
        <v>165</v>
      </c>
      <c r="I56" s="146"/>
      <c r="J56" s="141"/>
      <c r="K56" s="20"/>
      <c r="L56" s="20"/>
      <c r="M56" s="20"/>
    </row>
    <row r="57" spans="1:13">
      <c r="A57" s="129"/>
      <c r="B57" s="167" t="s">
        <v>155</v>
      </c>
      <c r="C57" s="170">
        <f>+H57</f>
        <v>2.5499999999999998</v>
      </c>
      <c r="D57" s="158"/>
      <c r="E57" s="192">
        <v>0</v>
      </c>
      <c r="F57" s="192">
        <f>+(38120)*C18/12</f>
        <v>38120</v>
      </c>
      <c r="G57" s="193">
        <f>IF(C51&lt;=F57,C51,F57)</f>
        <v>17</v>
      </c>
      <c r="H57" s="194">
        <f>+G57*0.15</f>
        <v>2.5499999999999998</v>
      </c>
      <c r="I57" s="146"/>
      <c r="J57" s="141"/>
      <c r="K57" s="20"/>
      <c r="L57" s="20"/>
      <c r="M57" s="20"/>
    </row>
    <row r="58" spans="1:13">
      <c r="A58" s="129"/>
      <c r="B58" s="167" t="s">
        <v>156</v>
      </c>
      <c r="C58" s="171">
        <f>+H58</f>
        <v>0</v>
      </c>
      <c r="D58" s="158"/>
      <c r="E58" s="192">
        <f>+F57</f>
        <v>38120</v>
      </c>
      <c r="F58" s="192">
        <f>+(75000)*C18/12</f>
        <v>75000</v>
      </c>
      <c r="G58" s="193">
        <f>IF(G57=C51,0,IF(C51&lt;=75000,(C51-F57),(F58-E58)))</f>
        <v>0</v>
      </c>
      <c r="H58" s="194">
        <f>+G58*0.28</f>
        <v>0</v>
      </c>
      <c r="I58" s="146"/>
      <c r="J58" s="141"/>
      <c r="K58" s="20"/>
      <c r="L58" s="20"/>
      <c r="M58" s="20"/>
    </row>
    <row r="59" spans="1:13">
      <c r="A59" s="129"/>
      <c r="B59" s="167" t="s">
        <v>157</v>
      </c>
      <c r="C59" s="172">
        <f>+H59</f>
        <v>0</v>
      </c>
      <c r="D59" s="158"/>
      <c r="E59" s="192">
        <f>+F58</f>
        <v>75000</v>
      </c>
      <c r="F59" s="192"/>
      <c r="G59" s="193">
        <f>IF((G57+G58)=C51,0,(C51-E59))</f>
        <v>0</v>
      </c>
      <c r="H59" s="194">
        <f>+G59/3</f>
        <v>0</v>
      </c>
      <c r="I59" s="146"/>
      <c r="J59" s="141"/>
      <c r="K59" s="20"/>
      <c r="L59" s="20"/>
      <c r="M59" s="20"/>
    </row>
    <row r="60" spans="1:13">
      <c r="A60" s="129"/>
      <c r="B60" s="130"/>
      <c r="C60" s="143"/>
      <c r="D60" s="158"/>
      <c r="E60" s="143"/>
      <c r="F60" s="143"/>
      <c r="G60" s="144"/>
      <c r="H60" s="145"/>
      <c r="I60" s="146"/>
      <c r="J60" s="141"/>
      <c r="K60" s="20"/>
      <c r="L60" s="20"/>
      <c r="M60" s="20"/>
    </row>
    <row r="61" spans="1:13">
      <c r="A61" s="131"/>
      <c r="B61" s="169" t="s">
        <v>158</v>
      </c>
      <c r="C61" s="173">
        <f>+C57+C58+C59</f>
        <v>2.5499999999999998</v>
      </c>
      <c r="D61" s="158"/>
      <c r="E61" s="144"/>
      <c r="F61" s="144"/>
      <c r="G61" s="147"/>
      <c r="H61" s="145"/>
      <c r="I61" s="21"/>
      <c r="J61" s="20"/>
      <c r="K61" s="20"/>
      <c r="L61" s="20"/>
      <c r="M61" s="20"/>
    </row>
    <row r="62" spans="1:13">
      <c r="A62" s="20"/>
      <c r="B62" s="126"/>
      <c r="C62" s="20"/>
      <c r="D62" s="20"/>
      <c r="E62" s="20"/>
      <c r="F62" s="20"/>
      <c r="G62" s="20"/>
      <c r="H62" s="20"/>
      <c r="I62" s="20"/>
      <c r="J62" s="20"/>
      <c r="K62" s="20"/>
      <c r="L62" s="20"/>
      <c r="M62" s="20"/>
    </row>
    <row r="63" spans="1:13">
      <c r="A63" s="20"/>
      <c r="B63" s="168" t="s">
        <v>159</v>
      </c>
      <c r="C63" s="174">
        <f>+C21-C61</f>
        <v>14.45</v>
      </c>
      <c r="D63" s="20"/>
      <c r="E63" s="141"/>
      <c r="F63" s="141"/>
      <c r="G63" s="20"/>
      <c r="H63" s="20"/>
      <c r="I63" s="20"/>
      <c r="J63" s="20"/>
      <c r="K63" s="20"/>
      <c r="L63" s="20"/>
      <c r="M63" s="20"/>
    </row>
    <row r="64" spans="1:13">
      <c r="A64" s="20"/>
      <c r="B64" s="20"/>
      <c r="C64" s="20"/>
      <c r="D64" s="20"/>
      <c r="E64" s="20"/>
      <c r="F64" s="20"/>
      <c r="G64" s="20"/>
      <c r="H64" s="20"/>
      <c r="I64" s="20"/>
      <c r="J64" s="20"/>
      <c r="K64" s="20"/>
      <c r="L64" s="20"/>
      <c r="M64" s="20"/>
    </row>
    <row r="65" spans="1:13">
      <c r="A65" s="20"/>
      <c r="B65" s="20"/>
      <c r="C65" s="20"/>
      <c r="D65" s="20"/>
      <c r="E65" s="20"/>
      <c r="F65" s="20"/>
      <c r="G65" s="20"/>
      <c r="H65" s="20"/>
      <c r="I65" s="20"/>
      <c r="J65" s="20"/>
      <c r="K65" s="20"/>
      <c r="L65" s="20"/>
      <c r="M65" s="20"/>
    </row>
    <row r="66" spans="1:13" ht="15.75" thickBot="1">
      <c r="A66" s="175"/>
      <c r="B66" s="175"/>
      <c r="C66" s="175"/>
      <c r="D66" s="175"/>
      <c r="E66" s="175"/>
      <c r="F66" s="175"/>
      <c r="G66" s="175"/>
      <c r="H66" s="175"/>
      <c r="I66" s="175"/>
      <c r="J66" s="20"/>
      <c r="K66" s="20"/>
      <c r="L66" s="20"/>
      <c r="M66" s="20"/>
    </row>
    <row r="67" spans="1:13" ht="15.75" thickTop="1">
      <c r="A67" s="20"/>
      <c r="B67" s="20"/>
      <c r="C67" s="20"/>
      <c r="D67" s="20"/>
      <c r="E67" s="20"/>
      <c r="F67" s="20"/>
      <c r="G67" s="20"/>
      <c r="H67" s="20"/>
      <c r="I67" s="20"/>
      <c r="J67" s="20"/>
      <c r="K67" s="20"/>
      <c r="L67" s="20"/>
      <c r="M67" s="20"/>
    </row>
    <row r="68" spans="1:13">
      <c r="A68" s="20"/>
      <c r="B68" s="149" t="s">
        <v>166</v>
      </c>
      <c r="C68" s="20"/>
      <c r="D68" s="20"/>
      <c r="E68" s="20"/>
      <c r="F68" s="20"/>
      <c r="G68" s="20"/>
      <c r="H68" s="20"/>
      <c r="I68" s="20"/>
      <c r="J68" s="20"/>
      <c r="K68" s="20"/>
      <c r="L68" s="20"/>
      <c r="M68" s="20"/>
    </row>
    <row r="69" spans="1:13">
      <c r="A69" s="20"/>
      <c r="B69" s="20"/>
      <c r="C69" s="20"/>
      <c r="D69" s="20"/>
      <c r="E69" s="20"/>
      <c r="F69" s="20"/>
      <c r="G69" s="20"/>
      <c r="H69" s="20"/>
      <c r="I69" s="20"/>
      <c r="J69" s="20"/>
      <c r="K69" s="20"/>
      <c r="L69" s="20"/>
      <c r="M69" s="20"/>
    </row>
    <row r="70" spans="1:13">
      <c r="A70" s="20"/>
      <c r="B70" s="134" t="s">
        <v>168</v>
      </c>
      <c r="C70" s="20"/>
      <c r="D70" s="20"/>
      <c r="E70" s="20"/>
      <c r="F70" s="20"/>
      <c r="G70" s="20"/>
      <c r="H70" s="20"/>
      <c r="I70" s="20"/>
      <c r="J70" s="20"/>
      <c r="K70" s="20"/>
      <c r="L70" s="20"/>
      <c r="M70" s="20"/>
    </row>
    <row r="71" spans="1:13">
      <c r="A71" s="20"/>
      <c r="B71" s="20"/>
      <c r="C71" s="20"/>
      <c r="D71" s="20"/>
      <c r="E71" s="20"/>
      <c r="F71" s="20"/>
      <c r="G71" s="20"/>
      <c r="H71" s="20"/>
      <c r="I71" s="20"/>
      <c r="J71" s="20"/>
      <c r="K71" s="20"/>
      <c r="L71" s="20"/>
      <c r="M71" s="20"/>
    </row>
    <row r="72" spans="1:13">
      <c r="A72" s="20"/>
      <c r="B72" s="178" t="s">
        <v>169</v>
      </c>
      <c r="C72" s="178" t="s">
        <v>22</v>
      </c>
      <c r="D72" s="178" t="s">
        <v>170</v>
      </c>
      <c r="E72" s="178" t="s">
        <v>171</v>
      </c>
      <c r="F72" s="20"/>
      <c r="G72" s="20"/>
      <c r="H72" s="20"/>
      <c r="I72" s="20"/>
      <c r="J72" s="20"/>
      <c r="K72" s="20"/>
      <c r="L72" s="20"/>
      <c r="M72" s="20"/>
    </row>
    <row r="73" spans="1:13">
      <c r="B73" s="179" t="str">
        <f>IF(ISBLANK('Liste des professionnels'!C8),"",'Liste des professionnels'!C8)</f>
        <v>A</v>
      </c>
      <c r="C73" s="183">
        <f>IF(ISBLANK('Liste des professionnels'!F8),"",'Liste des professionnels'!F8)</f>
        <v>5000</v>
      </c>
      <c r="D73" s="184">
        <f>IF(C73="","",C73/'Fiche d''identification'!$E$25)</f>
        <v>0.125</v>
      </c>
      <c r="E73" s="185">
        <f>IF(B73="","",D73*$C$51)</f>
        <v>2.125</v>
      </c>
    </row>
    <row r="74" spans="1:13">
      <c r="B74" s="180" t="str">
        <f>IF(ISBLANK('Liste des professionnels'!C9),"",'Liste des professionnels'!C9)</f>
        <v>A</v>
      </c>
      <c r="C74" s="186">
        <f>IF(ISBLANK('Liste des professionnels'!F9),"",'Liste des professionnels'!F9)</f>
        <v>10000</v>
      </c>
      <c r="D74" s="187">
        <f>IF(C74="","",C74/'Fiche d''identification'!$E$25)</f>
        <v>0.25</v>
      </c>
      <c r="E74" s="188">
        <f>IF(B74="","",D74*$C$51)</f>
        <v>4.25</v>
      </c>
    </row>
    <row r="75" spans="1:13">
      <c r="B75" s="180" t="str">
        <f>IF(ISBLANK('Liste des professionnels'!C10),"",'Liste des professionnels'!C10)</f>
        <v>A</v>
      </c>
      <c r="C75" s="186">
        <f>IF(ISBLANK('Liste des professionnels'!F10),"",'Liste des professionnels'!F10)</f>
        <v>10000</v>
      </c>
      <c r="D75" s="187">
        <f>IF(C75="","",C75/'Fiche d''identification'!$E$25)</f>
        <v>0.25</v>
      </c>
      <c r="E75" s="188">
        <f t="shared" ref="E75:E91" si="0">IF(B75="","",D75*$C$51)</f>
        <v>4.25</v>
      </c>
    </row>
    <row r="76" spans="1:13">
      <c r="B76" s="180" t="str">
        <f>IF(ISBLANK('Liste des professionnels'!C11),"",'Liste des professionnels'!C11)</f>
        <v>A</v>
      </c>
      <c r="C76" s="186">
        <f>IF(ISBLANK('Liste des professionnels'!F11),"",'Liste des professionnels'!F11)</f>
        <v>15000</v>
      </c>
      <c r="D76" s="187">
        <f>IF(C76="","",C76/'Fiche d''identification'!$E$25)</f>
        <v>0.375</v>
      </c>
      <c r="E76" s="188">
        <f t="shared" si="0"/>
        <v>6.375</v>
      </c>
    </row>
    <row r="77" spans="1:13">
      <c r="B77" s="180" t="str">
        <f>IF(ISBLANK('Liste des professionnels'!C12),"",'Liste des professionnels'!C12)</f>
        <v/>
      </c>
      <c r="C77" s="186" t="str">
        <f>IF(ISBLANK('Liste des professionnels'!F12),"",'Liste des professionnels'!F12)</f>
        <v/>
      </c>
      <c r="D77" s="187" t="str">
        <f>IF(C77="","",C77/'Fiche d''identification'!$E$25)</f>
        <v/>
      </c>
      <c r="E77" s="188" t="str">
        <f t="shared" si="0"/>
        <v/>
      </c>
    </row>
    <row r="78" spans="1:13">
      <c r="B78" s="180" t="str">
        <f>IF(ISBLANK('Liste des professionnels'!C13),"",'Liste des professionnels'!C13)</f>
        <v/>
      </c>
      <c r="C78" s="186" t="str">
        <f>IF(ISBLANK('Liste des professionnels'!F13),"",'Liste des professionnels'!F13)</f>
        <v/>
      </c>
      <c r="D78" s="187" t="str">
        <f>IF(C78="","",C78/'Fiche d''identification'!$E$25)</f>
        <v/>
      </c>
      <c r="E78" s="188" t="str">
        <f t="shared" si="0"/>
        <v/>
      </c>
    </row>
    <row r="79" spans="1:13">
      <c r="B79" s="180" t="str">
        <f>IF(ISBLANK('Liste des professionnels'!C14),"",'Liste des professionnels'!C14)</f>
        <v/>
      </c>
      <c r="C79" s="186" t="str">
        <f>IF(ISBLANK('Liste des professionnels'!F14),"",'Liste des professionnels'!F14)</f>
        <v/>
      </c>
      <c r="D79" s="187" t="str">
        <f>IF(C79="","",C79/'Fiche d''identification'!$E$25)</f>
        <v/>
      </c>
      <c r="E79" s="188" t="str">
        <f t="shared" si="0"/>
        <v/>
      </c>
    </row>
    <row r="80" spans="1:13">
      <c r="B80" s="180" t="str">
        <f>IF(ISBLANK('Liste des professionnels'!C15),"",'Liste des professionnels'!C15)</f>
        <v/>
      </c>
      <c r="C80" s="186" t="str">
        <f>IF(ISBLANK('Liste des professionnels'!F15),"",'Liste des professionnels'!F15)</f>
        <v/>
      </c>
      <c r="D80" s="187" t="str">
        <f>IF(C80="","",C80/'Fiche d''identification'!$E$25)</f>
        <v/>
      </c>
      <c r="E80" s="188" t="str">
        <f t="shared" si="0"/>
        <v/>
      </c>
    </row>
    <row r="81" spans="2:5">
      <c r="B81" s="180" t="str">
        <f>IF(ISBLANK('Liste des professionnels'!C16),"",'Liste des professionnels'!C16)</f>
        <v/>
      </c>
      <c r="C81" s="186" t="str">
        <f>IF(ISBLANK('Liste des professionnels'!F16),"",'Liste des professionnels'!F16)</f>
        <v/>
      </c>
      <c r="D81" s="187" t="str">
        <f>IF(C81="","",C81/'Fiche d''identification'!$E$25)</f>
        <v/>
      </c>
      <c r="E81" s="188" t="str">
        <f t="shared" si="0"/>
        <v/>
      </c>
    </row>
    <row r="82" spans="2:5">
      <c r="B82" s="180" t="str">
        <f>IF(ISBLANK('Liste des professionnels'!C17),"",'Liste des professionnels'!C17)</f>
        <v/>
      </c>
      <c r="C82" s="186" t="str">
        <f>IF(ISBLANK('Liste des professionnels'!F17),"",'Liste des professionnels'!F17)</f>
        <v/>
      </c>
      <c r="D82" s="187" t="str">
        <f>IF(C82="","",C82/'Fiche d''identification'!$E$25)</f>
        <v/>
      </c>
      <c r="E82" s="188" t="str">
        <f t="shared" si="0"/>
        <v/>
      </c>
    </row>
    <row r="83" spans="2:5">
      <c r="B83" s="180" t="str">
        <f>IF(ISBLANK('Liste des professionnels'!C18),"",'Liste des professionnels'!C18)</f>
        <v/>
      </c>
      <c r="C83" s="186" t="str">
        <f>IF(ISBLANK('Liste des professionnels'!F18),"",'Liste des professionnels'!F18)</f>
        <v/>
      </c>
      <c r="D83" s="187" t="str">
        <f>IF(C83="","",C83/'Fiche d''identification'!$E$25)</f>
        <v/>
      </c>
      <c r="E83" s="188" t="str">
        <f t="shared" si="0"/>
        <v/>
      </c>
    </row>
    <row r="84" spans="2:5">
      <c r="B84" s="180" t="str">
        <f>IF(ISBLANK('Liste des professionnels'!C19),"",'Liste des professionnels'!C19)</f>
        <v/>
      </c>
      <c r="C84" s="186" t="str">
        <f>IF(ISBLANK('Liste des professionnels'!F19),"",'Liste des professionnels'!F19)</f>
        <v/>
      </c>
      <c r="D84" s="187" t="str">
        <f>IF(C84="","",C84/'Fiche d''identification'!$E$25)</f>
        <v/>
      </c>
      <c r="E84" s="188" t="str">
        <f t="shared" si="0"/>
        <v/>
      </c>
    </row>
    <row r="85" spans="2:5">
      <c r="B85" s="180" t="str">
        <f>IF(ISBLANK('Liste des professionnels'!C20),"",'Liste des professionnels'!C20)</f>
        <v/>
      </c>
      <c r="C85" s="186" t="str">
        <f>IF(ISBLANK('Liste des professionnels'!F20),"",'Liste des professionnels'!F20)</f>
        <v/>
      </c>
      <c r="D85" s="187" t="str">
        <f>IF(C85="","",C85/'Fiche d''identification'!$E$25)</f>
        <v/>
      </c>
      <c r="E85" s="188" t="str">
        <f t="shared" si="0"/>
        <v/>
      </c>
    </row>
    <row r="86" spans="2:5">
      <c r="B86" s="180" t="str">
        <f>IF(ISBLANK('Liste des professionnels'!C21),"",'Liste des professionnels'!C21)</f>
        <v/>
      </c>
      <c r="C86" s="186" t="str">
        <f>IF(ISBLANK('Liste des professionnels'!F21),"",'Liste des professionnels'!F21)</f>
        <v/>
      </c>
      <c r="D86" s="187" t="str">
        <f>IF(C86="","",C86/'Fiche d''identification'!$E$25)</f>
        <v/>
      </c>
      <c r="E86" s="188" t="str">
        <f t="shared" si="0"/>
        <v/>
      </c>
    </row>
    <row r="87" spans="2:5">
      <c r="B87" s="180" t="str">
        <f>IF(ISBLANK('Liste des professionnels'!C22),"",'Liste des professionnels'!C22)</f>
        <v/>
      </c>
      <c r="C87" s="186" t="str">
        <f>IF(ISBLANK('Liste des professionnels'!F22),"",'Liste des professionnels'!F22)</f>
        <v/>
      </c>
      <c r="D87" s="187" t="str">
        <f>IF(C87="","",C87/'Fiche d''identification'!$E$25)</f>
        <v/>
      </c>
      <c r="E87" s="188" t="str">
        <f t="shared" si="0"/>
        <v/>
      </c>
    </row>
    <row r="88" spans="2:5">
      <c r="B88" s="180" t="str">
        <f>IF(ISBLANK('Liste des professionnels'!C23),"",'Liste des professionnels'!C23)</f>
        <v/>
      </c>
      <c r="C88" s="186" t="str">
        <f>IF(ISBLANK('Liste des professionnels'!F23),"",'Liste des professionnels'!F23)</f>
        <v/>
      </c>
      <c r="D88" s="187" t="str">
        <f>IF(C88="","",C88/'Fiche d''identification'!$E$25)</f>
        <v/>
      </c>
      <c r="E88" s="188" t="str">
        <f t="shared" si="0"/>
        <v/>
      </c>
    </row>
    <row r="89" spans="2:5">
      <c r="B89" s="180" t="str">
        <f>IF(ISBLANK('Liste des professionnels'!C24),"",'Liste des professionnels'!C24)</f>
        <v/>
      </c>
      <c r="C89" s="186" t="str">
        <f>IF(ISBLANK('Liste des professionnels'!F24),"",'Liste des professionnels'!F24)</f>
        <v/>
      </c>
      <c r="D89" s="187" t="str">
        <f>IF(C89="","",C89/'Fiche d''identification'!$E$25)</f>
        <v/>
      </c>
      <c r="E89" s="188" t="str">
        <f t="shared" si="0"/>
        <v/>
      </c>
    </row>
    <row r="90" spans="2:5">
      <c r="B90" s="180" t="str">
        <f>IF(ISBLANK('Liste des professionnels'!C25),"",'Liste des professionnels'!C25)</f>
        <v/>
      </c>
      <c r="C90" s="186" t="str">
        <f>IF(ISBLANK('Liste des professionnels'!F25),"",'Liste des professionnels'!F25)</f>
        <v/>
      </c>
      <c r="D90" s="187" t="str">
        <f>IF(C90="","",C90/'Fiche d''identification'!$E$25)</f>
        <v/>
      </c>
      <c r="E90" s="188" t="str">
        <f t="shared" si="0"/>
        <v/>
      </c>
    </row>
    <row r="91" spans="2:5">
      <c r="B91" s="181" t="str">
        <f>IF(ISBLANK('Liste des professionnels'!C26),"",'Liste des professionnels'!C26)</f>
        <v/>
      </c>
      <c r="C91" s="189" t="str">
        <f>IF(ISBLANK('Liste des professionnels'!F26),"",'Liste des professionnels'!F26)</f>
        <v/>
      </c>
      <c r="D91" s="190" t="str">
        <f>IF(C91="","",C91/'Fiche d''identification'!$E$25)</f>
        <v/>
      </c>
      <c r="E91" s="191" t="str">
        <f t="shared" si="0"/>
        <v/>
      </c>
    </row>
    <row r="93" spans="2:5">
      <c r="E93" s="182" t="str">
        <f>IF(SUM(E73:E91)&lt;&gt;C51,"Anomalie de répartition du résultat fiscal","")</f>
        <v/>
      </c>
    </row>
  </sheetData>
  <mergeCells count="1">
    <mergeCell ref="F10:G11"/>
  </mergeCells>
  <conditionalFormatting sqref="A55:I65">
    <cfRule type="expression" dxfId="5" priority="2">
      <formula>$C$15="Impôt sur le revenu"</formula>
    </cfRule>
  </conditionalFormatting>
  <conditionalFormatting sqref="A68:I94">
    <cfRule type="expression" dxfId="4" priority="1">
      <formula>$C$15="Impôt sur les sociétés"</formula>
    </cfRule>
  </conditionalFormatting>
  <hyperlinks>
    <hyperlink ref="F10:G11" location="'Sommaire général'!A1" display="Sommair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topLeftCell="A13" zoomScale="85" zoomScaleNormal="85" workbookViewId="0">
      <selection activeCell="B22" sqref="B22"/>
    </sheetView>
  </sheetViews>
  <sheetFormatPr baseColWidth="10" defaultRowHeight="15"/>
  <cols>
    <col min="1" max="1" width="39.28515625" bestFit="1" customWidth="1"/>
    <col min="2" max="2" width="50.85546875" customWidth="1"/>
    <col min="3" max="3" width="25.42578125" bestFit="1" customWidth="1"/>
    <col min="4" max="4" width="15.85546875" bestFit="1" customWidth="1"/>
    <col min="5" max="7" width="16.28515625" bestFit="1" customWidth="1"/>
    <col min="9" max="9" width="13.140625" customWidth="1"/>
    <col min="23" max="23" width="2.28515625" customWidth="1"/>
    <col min="24" max="24" width="18.7109375" bestFit="1" customWidth="1"/>
  </cols>
  <sheetData>
    <row r="1" spans="1:24" ht="21">
      <c r="A1" s="1"/>
      <c r="B1" s="2"/>
      <c r="C1" s="2"/>
      <c r="D1" s="2"/>
      <c r="E1" s="14"/>
      <c r="F1" s="14"/>
      <c r="G1" s="14"/>
      <c r="H1" s="14"/>
      <c r="I1" s="14"/>
    </row>
    <row r="2" spans="1:24">
      <c r="A2" s="3"/>
      <c r="B2" s="4"/>
      <c r="C2" s="4"/>
      <c r="D2" s="4"/>
      <c r="E2" s="15"/>
      <c r="F2" s="16"/>
      <c r="G2" s="16"/>
      <c r="H2" s="16"/>
      <c r="I2" s="16"/>
    </row>
    <row r="3" spans="1:24">
      <c r="A3" s="3"/>
      <c r="B3" s="4"/>
      <c r="C3" s="4"/>
      <c r="D3" s="4"/>
      <c r="E3" s="4"/>
      <c r="F3" s="4"/>
      <c r="G3" s="4"/>
      <c r="H3" s="4"/>
      <c r="I3" s="4"/>
    </row>
    <row r="4" spans="1:24">
      <c r="A4" s="3" t="s">
        <v>0</v>
      </c>
      <c r="B4" s="5"/>
      <c r="C4" s="4"/>
      <c r="D4" s="3"/>
      <c r="E4" s="6" t="s">
        <v>1</v>
      </c>
      <c r="F4" s="7"/>
      <c r="G4" s="7"/>
      <c r="H4" s="7"/>
      <c r="I4" s="3"/>
    </row>
    <row r="5" spans="1:24">
      <c r="A5" s="3" t="s">
        <v>2</v>
      </c>
      <c r="B5" s="8"/>
      <c r="C5" s="4"/>
      <c r="D5" s="4"/>
      <c r="E5" s="6" t="s">
        <v>3</v>
      </c>
      <c r="F5" s="9"/>
      <c r="G5" s="9"/>
      <c r="H5" s="9"/>
      <c r="I5" s="3"/>
    </row>
    <row r="6" spans="1:24">
      <c r="A6" s="3" t="s">
        <v>4</v>
      </c>
      <c r="B6" s="10"/>
      <c r="C6" s="4"/>
      <c r="D6" s="4"/>
      <c r="E6" s="6"/>
      <c r="F6" s="7"/>
      <c r="G6" s="7"/>
      <c r="H6" s="7"/>
      <c r="I6" s="3"/>
    </row>
    <row r="7" spans="1:24">
      <c r="A7" s="3" t="s">
        <v>5</v>
      </c>
      <c r="B7" s="11"/>
      <c r="C7" s="4"/>
      <c r="D7" s="4"/>
      <c r="E7" s="6" t="s">
        <v>6</v>
      </c>
      <c r="F7" s="7"/>
      <c r="G7" s="7"/>
      <c r="H7" s="7"/>
      <c r="I7" s="3"/>
    </row>
    <row r="8" spans="1:24">
      <c r="A8" s="3" t="s">
        <v>132</v>
      </c>
      <c r="B8" s="12" t="s">
        <v>175</v>
      </c>
      <c r="C8" s="4"/>
      <c r="D8" s="4"/>
      <c r="E8" s="6" t="s">
        <v>3</v>
      </c>
      <c r="F8" s="9"/>
      <c r="G8" s="9"/>
      <c r="H8" s="9"/>
      <c r="I8" s="3"/>
    </row>
    <row r="9" spans="1:24" ht="15.75" thickBot="1">
      <c r="A9" s="13"/>
      <c r="B9" s="13"/>
      <c r="C9" s="13"/>
      <c r="D9" s="13"/>
      <c r="E9" s="13"/>
      <c r="F9" s="13"/>
      <c r="G9" s="13"/>
      <c r="H9" s="13"/>
      <c r="I9" s="13"/>
      <c r="J9" s="119"/>
      <c r="K9" s="119"/>
      <c r="L9" s="119"/>
      <c r="M9" s="119"/>
      <c r="N9" s="119"/>
      <c r="O9" s="119"/>
      <c r="P9" s="119"/>
      <c r="Q9" s="119"/>
      <c r="R9" s="119"/>
      <c r="S9" s="119"/>
      <c r="T9" s="119"/>
      <c r="U9" s="119"/>
      <c r="V9" s="119"/>
      <c r="W9" s="119"/>
      <c r="X9" s="119"/>
    </row>
    <row r="10" spans="1:24">
      <c r="A10" s="3"/>
      <c r="B10" s="4"/>
      <c r="C10" s="4"/>
      <c r="D10" s="4"/>
      <c r="E10" s="369" t="s">
        <v>131</v>
      </c>
      <c r="F10" s="370"/>
      <c r="G10" s="3"/>
      <c r="H10" s="3"/>
      <c r="I10" s="3"/>
    </row>
    <row r="11" spans="1:24" ht="15.75" thickBot="1">
      <c r="A11" s="118" t="s">
        <v>134</v>
      </c>
      <c r="B11" s="20"/>
      <c r="C11" s="20"/>
      <c r="D11" s="20"/>
      <c r="E11" s="371"/>
      <c r="F11" s="372"/>
      <c r="G11" s="20"/>
      <c r="H11" s="20"/>
      <c r="I11" s="20"/>
      <c r="J11" s="20"/>
      <c r="K11" s="20"/>
      <c r="L11" s="20"/>
      <c r="M11" s="20"/>
      <c r="N11" s="20"/>
    </row>
    <row r="12" spans="1:24">
      <c r="A12" s="20"/>
      <c r="B12" s="20"/>
      <c r="C12" s="20"/>
      <c r="D12" s="20"/>
      <c r="E12" s="20"/>
      <c r="F12" s="20"/>
      <c r="G12" s="20"/>
      <c r="H12" s="20"/>
      <c r="I12" s="20"/>
      <c r="J12" s="20"/>
      <c r="K12" s="20"/>
      <c r="L12" s="20"/>
      <c r="M12" s="20"/>
      <c r="N12" s="20"/>
    </row>
    <row r="13" spans="1:24">
      <c r="A13" s="20"/>
      <c r="B13" s="20"/>
      <c r="C13" s="20"/>
      <c r="D13" s="20"/>
      <c r="E13" s="20"/>
      <c r="F13" s="20"/>
      <c r="G13" s="20"/>
      <c r="H13" s="20"/>
      <c r="I13" s="20"/>
      <c r="J13" s="20"/>
      <c r="K13" s="20"/>
      <c r="L13" s="20"/>
      <c r="M13" s="20"/>
      <c r="N13" s="20"/>
    </row>
    <row r="14" spans="1:24">
      <c r="A14" s="20"/>
      <c r="B14" s="20"/>
      <c r="C14" s="20"/>
      <c r="D14" s="20"/>
      <c r="E14" s="20"/>
      <c r="F14" s="20"/>
      <c r="G14" s="20"/>
      <c r="H14" s="20"/>
      <c r="I14" s="20"/>
      <c r="J14" s="20"/>
      <c r="K14" s="20"/>
      <c r="L14" s="20"/>
      <c r="M14" s="20"/>
      <c r="N14" s="20"/>
    </row>
    <row r="15" spans="1:24">
      <c r="A15" s="20"/>
      <c r="B15" s="20"/>
      <c r="C15" s="20"/>
      <c r="D15" s="20"/>
      <c r="E15" s="20"/>
      <c r="F15" s="20"/>
      <c r="G15" s="20"/>
      <c r="H15" s="20"/>
      <c r="I15" s="20"/>
      <c r="J15" s="20"/>
      <c r="K15" s="20"/>
      <c r="L15" s="20"/>
      <c r="M15" s="20"/>
      <c r="N15" s="20"/>
    </row>
    <row r="16" spans="1:24">
      <c r="A16" s="118" t="s">
        <v>133</v>
      </c>
      <c r="C16" s="261" t="str">
        <f>+'Fiche d''identification'!E13</f>
        <v>Impôt sur le revenu</v>
      </c>
      <c r="D16" s="20"/>
      <c r="E16" s="247" t="s">
        <v>159</v>
      </c>
      <c r="F16" s="20"/>
      <c r="G16" s="265">
        <f>+'Résultat fiscal SISA'!C63</f>
        <v>14.45</v>
      </c>
      <c r="H16" s="20"/>
      <c r="I16" s="20" t="s">
        <v>196</v>
      </c>
      <c r="J16" s="20"/>
      <c r="K16" s="267">
        <v>0</v>
      </c>
      <c r="L16" s="20"/>
      <c r="M16" s="20"/>
      <c r="N16" s="20"/>
    </row>
    <row r="17" spans="1:25">
      <c r="C17" t="str">
        <f>+'Fiche d''identification'!E16</f>
        <v>IR - Trésorerie</v>
      </c>
      <c r="D17" s="20"/>
      <c r="E17" s="199"/>
      <c r="F17" s="20"/>
      <c r="G17" s="20"/>
      <c r="H17" s="20"/>
      <c r="I17" s="20"/>
      <c r="J17" s="20"/>
      <c r="K17" s="20"/>
      <c r="L17" s="20"/>
      <c r="M17" s="20"/>
      <c r="N17" s="20"/>
    </row>
    <row r="18" spans="1:25">
      <c r="A18" s="20"/>
      <c r="B18" s="20"/>
      <c r="C18" s="20"/>
      <c r="D18" s="20"/>
      <c r="E18" s="247" t="s">
        <v>194</v>
      </c>
      <c r="F18" s="20"/>
      <c r="G18" s="266" t="s">
        <v>125</v>
      </c>
      <c r="H18" s="20"/>
      <c r="I18" s="20"/>
      <c r="J18" s="20"/>
      <c r="K18" s="20"/>
      <c r="L18" s="20"/>
      <c r="M18" s="20"/>
      <c r="N18" s="20"/>
      <c r="W18" s="20"/>
      <c r="X18" s="20"/>
    </row>
    <row r="19" spans="1:25">
      <c r="A19" s="20"/>
      <c r="B19" s="20"/>
      <c r="C19" s="20"/>
      <c r="D19" s="20"/>
      <c r="F19" s="20"/>
      <c r="G19" s="20"/>
      <c r="H19" s="20"/>
      <c r="I19" s="20"/>
      <c r="J19" s="20"/>
      <c r="K19" s="20"/>
      <c r="L19" s="20"/>
      <c r="M19" s="20"/>
      <c r="N19" s="20"/>
      <c r="W19" s="20"/>
      <c r="X19" s="20"/>
    </row>
    <row r="20" spans="1:25">
      <c r="A20" s="20"/>
      <c r="B20" s="20"/>
      <c r="C20" s="20"/>
      <c r="D20" s="20"/>
      <c r="E20" s="247" t="s">
        <v>195</v>
      </c>
      <c r="F20" s="20"/>
      <c r="G20" s="267"/>
      <c r="H20" s="20"/>
      <c r="I20" s="141" t="str">
        <f>IF(G20&gt;(G16+K16),"Vous devez distribuer moins de dividendes","")</f>
        <v/>
      </c>
      <c r="J20" s="20"/>
      <c r="K20" s="20"/>
      <c r="L20" s="20"/>
      <c r="M20" s="20"/>
      <c r="N20" s="20"/>
      <c r="W20" s="20"/>
      <c r="X20" s="20"/>
    </row>
    <row r="21" spans="1:25">
      <c r="A21" s="20"/>
      <c r="B21" s="20"/>
      <c r="C21" s="20"/>
      <c r="D21" s="20"/>
      <c r="F21" s="20"/>
      <c r="G21" s="20"/>
      <c r="H21" s="20"/>
      <c r="I21" s="20"/>
      <c r="J21" s="20"/>
      <c r="K21" s="20"/>
      <c r="L21" s="20"/>
      <c r="M21" s="20"/>
      <c r="N21" s="20"/>
      <c r="W21" s="20"/>
      <c r="X21" s="20"/>
    </row>
    <row r="22" spans="1:25">
      <c r="A22" s="20"/>
      <c r="B22" s="20"/>
      <c r="C22" s="20"/>
      <c r="D22" s="20"/>
      <c r="E22" s="199"/>
      <c r="F22" s="20"/>
      <c r="G22" s="20"/>
      <c r="H22" s="20"/>
      <c r="I22" s="20"/>
      <c r="J22" s="20"/>
      <c r="K22" s="20"/>
      <c r="L22" s="20"/>
      <c r="M22" s="20"/>
      <c r="N22" s="20"/>
      <c r="W22" s="20"/>
      <c r="X22" s="20"/>
    </row>
    <row r="23" spans="1:25">
      <c r="A23" s="20"/>
      <c r="B23" s="20"/>
      <c r="C23" s="20"/>
      <c r="D23" s="20"/>
      <c r="E23" s="20"/>
      <c r="F23" s="20"/>
      <c r="G23" s="20"/>
      <c r="H23" s="20"/>
      <c r="I23" s="20"/>
      <c r="J23" s="20"/>
      <c r="K23" s="20"/>
      <c r="L23" s="20"/>
      <c r="M23" s="20"/>
      <c r="N23" s="20"/>
      <c r="W23" s="20"/>
      <c r="X23" s="20"/>
    </row>
    <row r="24" spans="1:25">
      <c r="A24" s="20"/>
      <c r="B24" s="20"/>
      <c r="C24" s="404" t="s">
        <v>184</v>
      </c>
      <c r="D24" s="401"/>
      <c r="E24" s="401"/>
      <c r="F24" s="401"/>
      <c r="G24" s="401"/>
      <c r="H24" s="401"/>
      <c r="I24" s="401"/>
      <c r="J24" s="401"/>
      <c r="K24" s="401"/>
      <c r="L24" s="401"/>
      <c r="M24" s="401"/>
      <c r="N24" s="401"/>
      <c r="O24" s="401"/>
      <c r="P24" s="401"/>
      <c r="Q24" s="401"/>
      <c r="R24" s="401"/>
      <c r="S24" s="401"/>
      <c r="T24" s="401"/>
      <c r="U24" s="402"/>
      <c r="W24" s="20"/>
      <c r="X24" s="20"/>
    </row>
    <row r="25" spans="1:25" ht="15" customHeight="1">
      <c r="A25" s="176"/>
      <c r="B25" s="197" t="s">
        <v>191</v>
      </c>
      <c r="C25" s="252" t="str">
        <f>IF('Liste des professionnels'!$C8="","",'Liste des professionnels'!$C8)</f>
        <v>A</v>
      </c>
      <c r="D25" s="252" t="str">
        <f>IF('Liste des professionnels'!$C9="","",'Liste des professionnels'!$C9)</f>
        <v>A</v>
      </c>
      <c r="E25" s="252" t="str">
        <f>IF('Liste des professionnels'!$C10="","",'Liste des professionnels'!$C10)</f>
        <v>A</v>
      </c>
      <c r="F25" s="252" t="str">
        <f>IF('Liste des professionnels'!$C11="","",'Liste des professionnels'!$C11)</f>
        <v>A</v>
      </c>
      <c r="G25" s="252" t="str">
        <f>IF('Liste des professionnels'!$C12="","",'Liste des professionnels'!$C12)</f>
        <v/>
      </c>
      <c r="H25" s="252" t="str">
        <f>IF('Liste des professionnels'!$C13="","",'Liste des professionnels'!$C13)</f>
        <v/>
      </c>
      <c r="I25" s="252" t="str">
        <f>IF('Liste des professionnels'!$C14="","",'Liste des professionnels'!$C14)</f>
        <v/>
      </c>
      <c r="J25" s="252" t="str">
        <f>IF('Liste des professionnels'!$C15="","",'Liste des professionnels'!$C15)</f>
        <v/>
      </c>
      <c r="K25" s="252" t="str">
        <f>IF('Liste des professionnels'!$C16="","",'Liste des professionnels'!$C16)</f>
        <v/>
      </c>
      <c r="L25" s="252" t="str">
        <f>IF('Liste des professionnels'!$C17="","",'Liste des professionnels'!$C17)</f>
        <v/>
      </c>
      <c r="M25" s="252" t="str">
        <f>IF('Liste des professionnels'!$C18="","",'Liste des professionnels'!$C18)</f>
        <v/>
      </c>
      <c r="N25" s="252" t="str">
        <f>IF('Liste des professionnels'!$C19="","",'Liste des professionnels'!$C19)</f>
        <v/>
      </c>
      <c r="O25" s="252" t="str">
        <f>IF('Liste des professionnels'!$C20="","",'Liste des professionnels'!$C20)</f>
        <v/>
      </c>
      <c r="P25" s="252" t="str">
        <f>IF('Liste des professionnels'!$C21="","",'Liste des professionnels'!$C21)</f>
        <v/>
      </c>
      <c r="Q25" s="252" t="str">
        <f>IF('Liste des professionnels'!$C22="","",'Liste des professionnels'!$C22)</f>
        <v/>
      </c>
      <c r="R25" s="252" t="str">
        <f>IF('Liste des professionnels'!$C23="","",'Liste des professionnels'!$C23)</f>
        <v/>
      </c>
      <c r="S25" s="252" t="str">
        <f>IF('Liste des professionnels'!$C24="","",'Liste des professionnels'!$C24)</f>
        <v/>
      </c>
      <c r="T25" s="252" t="str">
        <f>IF('Liste des professionnels'!$C25="","",'Liste des professionnels'!$C25)</f>
        <v/>
      </c>
      <c r="U25" s="252" t="str">
        <f>IF('Liste des professionnels'!$C26="","",'Liste des professionnels'!$C26)</f>
        <v/>
      </c>
      <c r="V25" s="40">
        <f>COUNTA(C25:U25)-COUNTIF(C25:U25,"")</f>
        <v>4</v>
      </c>
      <c r="W25" s="20"/>
      <c r="X25" s="134"/>
      <c r="Y25" s="40">
        <f>COUNTA(C25:U25)-COUNTIF(C25:U25,"")</f>
        <v>4</v>
      </c>
    </row>
    <row r="26" spans="1:25" ht="15" customHeight="1">
      <c r="A26" s="176"/>
      <c r="B26" s="197" t="s">
        <v>167</v>
      </c>
      <c r="C26" s="257">
        <f>IF('Liste des professionnels'!$F8="","",'Liste des professionnels'!$F8)</f>
        <v>5000</v>
      </c>
      <c r="D26" s="257">
        <f>IF('Liste des professionnels'!$F9="","",'Liste des professionnels'!$F9)</f>
        <v>10000</v>
      </c>
      <c r="E26" s="257">
        <f>IF('Liste des professionnels'!$F10="","",'Liste des professionnels'!$F10)</f>
        <v>10000</v>
      </c>
      <c r="F26" s="257">
        <f>IF('Liste des professionnels'!$F11="","",'Liste des professionnels'!$F11)</f>
        <v>15000</v>
      </c>
      <c r="G26" s="257" t="str">
        <f>IF('Liste des professionnels'!$F12="","",'Liste des professionnels'!$F12)</f>
        <v/>
      </c>
      <c r="H26" s="257" t="str">
        <f>IF('Liste des professionnels'!$F13="","",'Liste des professionnels'!$F13)</f>
        <v/>
      </c>
      <c r="I26" s="257" t="str">
        <f>IF('Liste des professionnels'!$F14="","",'Liste des professionnels'!$F14)</f>
        <v/>
      </c>
      <c r="J26" s="257" t="str">
        <f>IF('Liste des professionnels'!$F15="","",'Liste des professionnels'!$F15)</f>
        <v/>
      </c>
      <c r="K26" s="257" t="str">
        <f>IF('Liste des professionnels'!$F16="","",'Liste des professionnels'!$F16)</f>
        <v/>
      </c>
      <c r="L26" s="257" t="str">
        <f>IF('Liste des professionnels'!$F17="","",'Liste des professionnels'!$F17)</f>
        <v/>
      </c>
      <c r="M26" s="257" t="str">
        <f>IF('Liste des professionnels'!$F18="","",'Liste des professionnels'!$F18)</f>
        <v/>
      </c>
      <c r="N26" s="257" t="str">
        <f>IF('Liste des professionnels'!$F19="","",'Liste des professionnels'!$F19)</f>
        <v/>
      </c>
      <c r="O26" s="257" t="str">
        <f>IF('Liste des professionnels'!$F20="","",'Liste des professionnels'!$F20)</f>
        <v/>
      </c>
      <c r="P26" s="257" t="str">
        <f>IF('Liste des professionnels'!$F21="","",'Liste des professionnels'!$F21)</f>
        <v/>
      </c>
      <c r="Q26" s="257" t="str">
        <f>IF('Liste des professionnels'!$F22="","",'Liste des professionnels'!$F22)</f>
        <v/>
      </c>
      <c r="R26" s="257" t="str">
        <f>IF('Liste des professionnels'!$F23="","",'Liste des professionnels'!$F23)</f>
        <v/>
      </c>
      <c r="S26" s="257" t="str">
        <f>IF('Liste des professionnels'!$F24="","",'Liste des professionnels'!$F24)</f>
        <v/>
      </c>
      <c r="T26" s="257" t="str">
        <f>IF('Liste des professionnels'!$F25="","",'Liste des professionnels'!$F25)</f>
        <v/>
      </c>
      <c r="U26" s="257" t="str">
        <f>IF('Liste des professionnels'!$F26="","",'Liste des professionnels'!$F26)</f>
        <v/>
      </c>
      <c r="V26" s="40">
        <f>SUM(C26:U26)</f>
        <v>40000</v>
      </c>
      <c r="W26" s="20"/>
      <c r="X26" s="134"/>
      <c r="Y26" s="40">
        <f>SUM(C26:U26)</f>
        <v>40000</v>
      </c>
    </row>
    <row r="27" spans="1:25" s="200" customFormat="1">
      <c r="A27" s="199"/>
      <c r="B27" s="199"/>
      <c r="C27" s="134"/>
      <c r="D27" s="134"/>
      <c r="E27" s="134"/>
      <c r="F27" s="134"/>
      <c r="G27" s="134"/>
      <c r="H27" s="134"/>
      <c r="I27" s="134"/>
      <c r="J27" s="134"/>
      <c r="K27" s="134"/>
      <c r="L27" s="134"/>
      <c r="M27" s="134"/>
      <c r="N27" s="134"/>
      <c r="O27" s="17"/>
      <c r="P27" s="17"/>
      <c r="Q27" s="17"/>
      <c r="R27" s="17"/>
      <c r="S27" s="17"/>
      <c r="T27" s="17"/>
      <c r="U27" s="17"/>
      <c r="W27" s="199"/>
      <c r="X27" s="199"/>
    </row>
    <row r="28" spans="1:25" s="200" customFormat="1">
      <c r="A28" s="199"/>
      <c r="B28" s="197" t="s">
        <v>192</v>
      </c>
      <c r="C28" s="263">
        <f>+'Rémunérations des pros'!D49</f>
        <v>2034</v>
      </c>
      <c r="D28" s="263">
        <f>+'Rémunérations des pros'!E49</f>
        <v>2094</v>
      </c>
      <c r="E28" s="263">
        <f>+'Rémunérations des pros'!F49</f>
        <v>2094</v>
      </c>
      <c r="F28" s="263">
        <f>+'Rémunérations des pros'!G49</f>
        <v>2346</v>
      </c>
      <c r="G28" s="263" t="str">
        <f>+'Rémunérations des pros'!H49</f>
        <v/>
      </c>
      <c r="H28" s="263" t="str">
        <f>+'Rémunérations des pros'!I49</f>
        <v/>
      </c>
      <c r="I28" s="263" t="str">
        <f>+'Rémunérations des pros'!J49</f>
        <v/>
      </c>
      <c r="J28" s="263" t="str">
        <f>+'Rémunérations des pros'!K49</f>
        <v/>
      </c>
      <c r="K28" s="263" t="str">
        <f>+'Rémunérations des pros'!L49</f>
        <v/>
      </c>
      <c r="L28" s="263" t="str">
        <f>+'Rémunérations des pros'!M49</f>
        <v/>
      </c>
      <c r="M28" s="263" t="str">
        <f>+'Rémunérations des pros'!N49</f>
        <v/>
      </c>
      <c r="N28" s="263" t="str">
        <f>+'Rémunérations des pros'!O49</f>
        <v/>
      </c>
      <c r="O28" s="263" t="str">
        <f>+'Rémunérations des pros'!P49</f>
        <v/>
      </c>
      <c r="P28" s="263" t="str">
        <f>+'Rémunérations des pros'!Q49</f>
        <v/>
      </c>
      <c r="Q28" s="263" t="str">
        <f>+'Rémunérations des pros'!R49</f>
        <v/>
      </c>
      <c r="R28" s="263" t="str">
        <f>+'Rémunérations des pros'!S49</f>
        <v/>
      </c>
      <c r="S28" s="263" t="str">
        <f>+'Rémunérations des pros'!T49</f>
        <v/>
      </c>
      <c r="T28" s="263" t="str">
        <f>+'Rémunérations des pros'!U49</f>
        <v/>
      </c>
      <c r="U28" s="263" t="str">
        <f>+'Rémunérations des pros'!V49</f>
        <v/>
      </c>
    </row>
    <row r="29" spans="1:25" s="200" customFormat="1">
      <c r="A29" s="199"/>
      <c r="B29" s="199"/>
      <c r="C29" s="134"/>
      <c r="D29" s="134"/>
      <c r="E29" s="134"/>
      <c r="F29" s="134"/>
      <c r="G29" s="134"/>
      <c r="H29" s="134"/>
      <c r="I29" s="134"/>
      <c r="J29" s="134"/>
      <c r="K29" s="134"/>
      <c r="L29" s="134"/>
      <c r="M29" s="134"/>
      <c r="N29" s="134"/>
      <c r="O29" s="17"/>
      <c r="P29" s="17"/>
      <c r="Q29" s="17"/>
      <c r="R29" s="17"/>
      <c r="S29" s="17"/>
      <c r="T29" s="17"/>
      <c r="U29" s="17"/>
    </row>
    <row r="30" spans="1:25" s="200" customFormat="1">
      <c r="A30" s="199"/>
      <c r="B30" s="176" t="s">
        <v>193</v>
      </c>
      <c r="C30" s="264">
        <f>IF($C$16="Impôt sur le revenu",'Résultat fiscal SISA'!$E73,0)</f>
        <v>2.125</v>
      </c>
      <c r="D30" s="264">
        <f>IF($C$16="Impôt sur le revenu",'Résultat fiscal SISA'!$E74,0)</f>
        <v>4.25</v>
      </c>
      <c r="E30" s="264">
        <f>IF($C$16="Impôt sur le revenu",'Résultat fiscal SISA'!$E75,0)</f>
        <v>4.25</v>
      </c>
      <c r="F30" s="264">
        <f>IF($C$16="Impôt sur le revenu",'Résultat fiscal SISA'!$E76,0)</f>
        <v>6.375</v>
      </c>
      <c r="G30" s="264" t="str">
        <f>IF($C$16="Impôt sur le revenu",'Résultat fiscal SISA'!$E77,0)</f>
        <v/>
      </c>
      <c r="H30" s="264" t="str">
        <f>IF($C$16="Impôt sur le revenu",'Résultat fiscal SISA'!$E78,0)</f>
        <v/>
      </c>
      <c r="I30" s="264" t="str">
        <f>IF($C$16="Impôt sur le revenu",'Résultat fiscal SISA'!$E79,0)</f>
        <v/>
      </c>
      <c r="J30" s="264" t="str">
        <f>IF($C$16="Impôt sur le revenu",'Résultat fiscal SISA'!$E80,0)</f>
        <v/>
      </c>
      <c r="K30" s="264" t="str">
        <f>IF($C$16="Impôt sur le revenu",'Résultat fiscal SISA'!$E81,0)</f>
        <v/>
      </c>
      <c r="L30" s="264" t="str">
        <f>IF($C$16="Impôt sur le revenu",'Résultat fiscal SISA'!$E82,0)</f>
        <v/>
      </c>
      <c r="M30" s="264" t="str">
        <f>IF($C$16="Impôt sur le revenu",'Résultat fiscal SISA'!$E83,0)</f>
        <v/>
      </c>
      <c r="N30" s="264" t="str">
        <f>IF($C$16="Impôt sur le revenu",'Résultat fiscal SISA'!$E84,0)</f>
        <v/>
      </c>
      <c r="O30" s="264" t="str">
        <f>IF($C$16="Impôt sur le revenu",'Résultat fiscal SISA'!$E85,0)</f>
        <v/>
      </c>
      <c r="P30" s="264" t="str">
        <f>IF($C$16="Impôt sur le revenu",'Résultat fiscal SISA'!$E86,0)</f>
        <v/>
      </c>
      <c r="Q30" s="264" t="str">
        <f>IF($C$16="Impôt sur le revenu",'Résultat fiscal SISA'!$E87,0)</f>
        <v/>
      </c>
      <c r="R30" s="264" t="str">
        <f>IF($C$16="Impôt sur le revenu",'Résultat fiscal SISA'!$E88,0)</f>
        <v/>
      </c>
      <c r="S30" s="264" t="str">
        <f>IF($C$16="Impôt sur le revenu",'Résultat fiscal SISA'!$E89,0)</f>
        <v/>
      </c>
      <c r="T30" s="264" t="str">
        <f>IF($C$16="Impôt sur le revenu",'Résultat fiscal SISA'!$E90,0)</f>
        <v/>
      </c>
      <c r="U30" s="264" t="str">
        <f>IF($C$16="Impôt sur le revenu",'Résultat fiscal SISA'!$E91,0)</f>
        <v/>
      </c>
      <c r="V30" s="224"/>
      <c r="W30" s="224"/>
      <c r="X30" s="224"/>
    </row>
    <row r="31" spans="1:25" s="200" customFormat="1">
      <c r="A31" s="199"/>
      <c r="B31" s="199"/>
      <c r="C31" s="134"/>
      <c r="D31" s="134"/>
      <c r="E31" s="134"/>
      <c r="F31" s="134"/>
      <c r="G31" s="134"/>
      <c r="H31" s="134"/>
      <c r="I31" s="134"/>
      <c r="J31" s="134"/>
      <c r="K31" s="134"/>
      <c r="L31" s="134"/>
      <c r="M31" s="134"/>
      <c r="N31" s="134"/>
      <c r="O31" s="17"/>
      <c r="P31" s="17"/>
      <c r="Q31" s="17"/>
      <c r="R31" s="17"/>
      <c r="S31" s="17"/>
      <c r="T31" s="17"/>
      <c r="U31" s="17"/>
    </row>
    <row r="32" spans="1:25" s="200" customFormat="1">
      <c r="A32" s="199"/>
      <c r="B32" s="262" t="s">
        <v>197</v>
      </c>
      <c r="C32" s="264">
        <f>IF(C26="","",$G$20*C26/$V$26)</f>
        <v>0</v>
      </c>
      <c r="D32" s="264">
        <f t="shared" ref="D32:U32" si="0">IF(D26="","",$G$20*D26/$V$26)</f>
        <v>0</v>
      </c>
      <c r="E32" s="264">
        <f t="shared" si="0"/>
        <v>0</v>
      </c>
      <c r="F32" s="264">
        <f t="shared" si="0"/>
        <v>0</v>
      </c>
      <c r="G32" s="264" t="str">
        <f t="shared" si="0"/>
        <v/>
      </c>
      <c r="H32" s="264" t="str">
        <f t="shared" si="0"/>
        <v/>
      </c>
      <c r="I32" s="264" t="str">
        <f t="shared" si="0"/>
        <v/>
      </c>
      <c r="J32" s="264" t="str">
        <f t="shared" si="0"/>
        <v/>
      </c>
      <c r="K32" s="264" t="str">
        <f t="shared" si="0"/>
        <v/>
      </c>
      <c r="L32" s="264" t="str">
        <f t="shared" si="0"/>
        <v/>
      </c>
      <c r="M32" s="264" t="str">
        <f t="shared" si="0"/>
        <v/>
      </c>
      <c r="N32" s="264" t="str">
        <f t="shared" si="0"/>
        <v/>
      </c>
      <c r="O32" s="264" t="str">
        <f t="shared" si="0"/>
        <v/>
      </c>
      <c r="P32" s="264" t="str">
        <f t="shared" si="0"/>
        <v/>
      </c>
      <c r="Q32" s="264" t="str">
        <f t="shared" si="0"/>
        <v/>
      </c>
      <c r="R32" s="264" t="str">
        <f t="shared" si="0"/>
        <v/>
      </c>
      <c r="S32" s="264" t="str">
        <f t="shared" si="0"/>
        <v/>
      </c>
      <c r="T32" s="264" t="str">
        <f t="shared" si="0"/>
        <v/>
      </c>
      <c r="U32" s="264" t="str">
        <f t="shared" si="0"/>
        <v/>
      </c>
    </row>
    <row r="33" spans="1:21" s="200" customFormat="1">
      <c r="A33" s="199"/>
      <c r="C33" s="199"/>
      <c r="D33" s="199"/>
      <c r="E33" s="199"/>
      <c r="F33" s="199"/>
      <c r="G33" s="199"/>
      <c r="H33" s="199"/>
      <c r="I33" s="199"/>
      <c r="J33" s="199"/>
      <c r="K33" s="199"/>
      <c r="L33" s="199"/>
      <c r="M33" s="199"/>
      <c r="N33" s="199"/>
    </row>
    <row r="34" spans="1:21" s="200" customFormat="1">
      <c r="A34" s="199"/>
      <c r="C34" s="199"/>
      <c r="D34" s="199"/>
      <c r="E34" s="199"/>
      <c r="F34" s="199"/>
      <c r="G34" s="199"/>
      <c r="H34" s="199"/>
      <c r="I34" s="199"/>
      <c r="J34" s="199"/>
      <c r="K34" s="199"/>
      <c r="L34" s="199"/>
      <c r="M34" s="199"/>
      <c r="N34" s="199"/>
    </row>
    <row r="35" spans="1:21" s="200" customFormat="1">
      <c r="A35" s="199"/>
      <c r="B35" s="262" t="s">
        <v>198</v>
      </c>
      <c r="C35" s="269">
        <f>IF(C25="",0,C28+C30+C32)</f>
        <v>2036.125</v>
      </c>
      <c r="D35" s="269">
        <f t="shared" ref="D35:U35" si="1">IF(D25="",0,D28+D30+D32)</f>
        <v>2098.25</v>
      </c>
      <c r="E35" s="269">
        <f t="shared" si="1"/>
        <v>2098.25</v>
      </c>
      <c r="F35" s="269">
        <f t="shared" si="1"/>
        <v>2352.375</v>
      </c>
      <c r="G35" s="269">
        <f t="shared" si="1"/>
        <v>0</v>
      </c>
      <c r="H35" s="269">
        <f t="shared" si="1"/>
        <v>0</v>
      </c>
      <c r="I35" s="269">
        <f t="shared" si="1"/>
        <v>0</v>
      </c>
      <c r="J35" s="269">
        <f t="shared" si="1"/>
        <v>0</v>
      </c>
      <c r="K35" s="269">
        <f t="shared" si="1"/>
        <v>0</v>
      </c>
      <c r="L35" s="269">
        <f t="shared" si="1"/>
        <v>0</v>
      </c>
      <c r="M35" s="269">
        <f t="shared" si="1"/>
        <v>0</v>
      </c>
      <c r="N35" s="269">
        <f t="shared" si="1"/>
        <v>0</v>
      </c>
      <c r="O35" s="269">
        <f t="shared" si="1"/>
        <v>0</v>
      </c>
      <c r="P35" s="269">
        <f t="shared" si="1"/>
        <v>0</v>
      </c>
      <c r="Q35" s="269">
        <f t="shared" si="1"/>
        <v>0</v>
      </c>
      <c r="R35" s="269">
        <f t="shared" si="1"/>
        <v>0</v>
      </c>
      <c r="S35" s="269">
        <f t="shared" si="1"/>
        <v>0</v>
      </c>
      <c r="T35" s="269">
        <f t="shared" si="1"/>
        <v>0</v>
      </c>
      <c r="U35" s="269">
        <f t="shared" si="1"/>
        <v>0</v>
      </c>
    </row>
    <row r="36" spans="1:21" s="200" customFormat="1">
      <c r="A36" s="199"/>
      <c r="C36" s="199"/>
      <c r="D36" s="199"/>
      <c r="E36" s="199"/>
      <c r="F36" s="199"/>
      <c r="G36" s="199"/>
      <c r="H36" s="199"/>
      <c r="I36" s="199"/>
      <c r="J36" s="199"/>
      <c r="K36" s="199"/>
      <c r="L36" s="199"/>
      <c r="M36" s="199"/>
      <c r="N36" s="199"/>
    </row>
    <row r="37" spans="1:21" s="200" customFormat="1" ht="15.75" thickBot="1">
      <c r="A37" s="199"/>
      <c r="B37" s="270"/>
      <c r="C37" s="271"/>
      <c r="D37" s="271"/>
      <c r="E37" s="271"/>
      <c r="F37" s="271"/>
      <c r="G37" s="271"/>
      <c r="H37" s="271"/>
      <c r="I37" s="271"/>
      <c r="J37" s="271"/>
      <c r="K37" s="271"/>
      <c r="L37" s="271"/>
      <c r="M37" s="271"/>
      <c r="N37" s="271"/>
      <c r="O37" s="270"/>
      <c r="P37" s="270"/>
      <c r="Q37" s="270"/>
      <c r="R37" s="270"/>
      <c r="S37" s="270"/>
      <c r="T37" s="270"/>
      <c r="U37" s="270"/>
    </row>
    <row r="38" spans="1:21" s="200" customFormat="1" ht="15.75" thickTop="1">
      <c r="A38" s="199"/>
      <c r="C38" s="199"/>
      <c r="D38" s="199"/>
      <c r="E38" s="247"/>
      <c r="F38" s="199"/>
      <c r="G38" s="199"/>
      <c r="H38" s="199"/>
      <c r="I38" s="199"/>
      <c r="J38" s="199"/>
      <c r="K38" s="199"/>
      <c r="L38" s="199"/>
      <c r="M38" s="199"/>
      <c r="N38" s="199"/>
    </row>
    <row r="39" spans="1:21" s="200" customFormat="1">
      <c r="A39" s="199"/>
      <c r="B39" s="363" t="s">
        <v>264</v>
      </c>
      <c r="C39" s="364">
        <v>0.35</v>
      </c>
      <c r="D39" s="364">
        <v>0.35</v>
      </c>
      <c r="E39" s="364">
        <v>0.4</v>
      </c>
      <c r="F39" s="364">
        <v>0.45</v>
      </c>
      <c r="G39" s="364"/>
      <c r="H39" s="364"/>
      <c r="I39" s="364"/>
      <c r="J39" s="364"/>
      <c r="K39" s="364"/>
      <c r="L39" s="364"/>
      <c r="M39" s="364"/>
      <c r="N39" s="364"/>
      <c r="O39" s="365"/>
      <c r="P39" s="365"/>
      <c r="Q39" s="365"/>
      <c r="R39" s="365"/>
      <c r="S39" s="365"/>
      <c r="T39" s="365"/>
      <c r="U39" s="365"/>
    </row>
    <row r="40" spans="1:21" s="200" customFormat="1">
      <c r="A40" s="199"/>
      <c r="C40" s="199"/>
      <c r="D40" s="199"/>
      <c r="E40" s="247"/>
      <c r="F40" s="199"/>
      <c r="G40" s="199"/>
      <c r="H40" s="199"/>
      <c r="I40" s="199"/>
      <c r="J40" s="199"/>
      <c r="K40" s="199"/>
      <c r="L40" s="199"/>
      <c r="M40" s="199"/>
      <c r="N40" s="199"/>
    </row>
    <row r="41" spans="1:21" s="200" customFormat="1">
      <c r="A41" s="199"/>
      <c r="B41" s="262" t="s">
        <v>265</v>
      </c>
      <c r="C41" s="275">
        <f>IF(C25="","",(C28+C30)*C39)</f>
        <v>712.64374999999995</v>
      </c>
      <c r="D41" s="275">
        <f t="shared" ref="D41:U41" si="2">IF(D25="","",(D28+D30)*D39)</f>
        <v>734.38749999999993</v>
      </c>
      <c r="E41" s="275">
        <f t="shared" si="2"/>
        <v>839.30000000000007</v>
      </c>
      <c r="F41" s="275">
        <f t="shared" si="2"/>
        <v>1058.5687500000001</v>
      </c>
      <c r="G41" s="275" t="str">
        <f t="shared" si="2"/>
        <v/>
      </c>
      <c r="H41" s="275" t="str">
        <f t="shared" si="2"/>
        <v/>
      </c>
      <c r="I41" s="275" t="str">
        <f t="shared" si="2"/>
        <v/>
      </c>
      <c r="J41" s="275" t="str">
        <f t="shared" si="2"/>
        <v/>
      </c>
      <c r="K41" s="275" t="str">
        <f t="shared" si="2"/>
        <v/>
      </c>
      <c r="L41" s="275" t="str">
        <f t="shared" si="2"/>
        <v/>
      </c>
      <c r="M41" s="275" t="str">
        <f t="shared" si="2"/>
        <v/>
      </c>
      <c r="N41" s="275" t="str">
        <f t="shared" si="2"/>
        <v/>
      </c>
      <c r="O41" s="275" t="str">
        <f t="shared" si="2"/>
        <v/>
      </c>
      <c r="P41" s="275" t="str">
        <f t="shared" si="2"/>
        <v/>
      </c>
      <c r="Q41" s="275" t="str">
        <f t="shared" si="2"/>
        <v/>
      </c>
      <c r="R41" s="275" t="str">
        <f t="shared" si="2"/>
        <v/>
      </c>
      <c r="S41" s="275" t="str">
        <f t="shared" si="2"/>
        <v/>
      </c>
      <c r="T41" s="275" t="str">
        <f t="shared" si="2"/>
        <v/>
      </c>
      <c r="U41" s="275" t="str">
        <f t="shared" si="2"/>
        <v/>
      </c>
    </row>
    <row r="42" spans="1:21" s="200" customFormat="1">
      <c r="A42" s="199"/>
      <c r="B42" s="262"/>
      <c r="C42" s="134"/>
      <c r="D42" s="134"/>
      <c r="E42" s="134"/>
      <c r="F42" s="134"/>
      <c r="G42" s="134"/>
      <c r="H42" s="134"/>
      <c r="I42" s="134"/>
      <c r="J42" s="134"/>
      <c r="K42" s="134"/>
      <c r="L42" s="134"/>
      <c r="M42" s="134"/>
      <c r="N42" s="134"/>
      <c r="O42" s="17"/>
      <c r="P42" s="17"/>
      <c r="Q42" s="17"/>
      <c r="R42" s="17"/>
      <c r="S42" s="17"/>
      <c r="T42" s="17"/>
      <c r="U42" s="17"/>
    </row>
    <row r="43" spans="1:21" s="200" customFormat="1">
      <c r="A43" s="199"/>
      <c r="B43" s="363" t="s">
        <v>200</v>
      </c>
      <c r="C43" s="364">
        <v>0.3</v>
      </c>
      <c r="D43" s="364">
        <v>0.45</v>
      </c>
      <c r="E43" s="364">
        <v>0.14000000000000001</v>
      </c>
      <c r="F43" s="364">
        <v>0.3</v>
      </c>
      <c r="G43" s="364"/>
      <c r="H43" s="364"/>
      <c r="I43" s="364"/>
      <c r="J43" s="364"/>
      <c r="K43" s="364"/>
      <c r="L43" s="364"/>
      <c r="M43" s="364"/>
      <c r="N43" s="364"/>
      <c r="O43" s="365"/>
      <c r="P43" s="365"/>
      <c r="Q43" s="365"/>
      <c r="R43" s="365"/>
      <c r="S43" s="365"/>
      <c r="T43" s="365"/>
      <c r="U43" s="365"/>
    </row>
    <row r="44" spans="1:21" s="200" customFormat="1">
      <c r="A44" s="199"/>
      <c r="B44" s="262"/>
      <c r="C44" s="134"/>
      <c r="D44" s="134"/>
      <c r="E44" s="134"/>
      <c r="F44" s="134"/>
      <c r="G44" s="134"/>
      <c r="H44" s="134"/>
      <c r="I44" s="134"/>
      <c r="J44" s="134"/>
      <c r="K44" s="134"/>
      <c r="L44" s="134"/>
      <c r="M44" s="134"/>
      <c r="N44" s="134"/>
      <c r="O44" s="17"/>
      <c r="P44" s="17"/>
      <c r="Q44" s="17"/>
      <c r="R44" s="17"/>
      <c r="S44" s="17"/>
      <c r="T44" s="17"/>
      <c r="U44" s="17"/>
    </row>
    <row r="45" spans="1:21" s="200" customFormat="1">
      <c r="A45" s="199"/>
      <c r="B45" s="262" t="s">
        <v>204</v>
      </c>
      <c r="C45" s="275">
        <f>IF(C25="","",(C28+C30)*C43)</f>
        <v>610.83749999999998</v>
      </c>
      <c r="D45" s="275">
        <f t="shared" ref="D45:U45" si="3">IF(D25="","",(D28+D30)*D43)</f>
        <v>944.21249999999998</v>
      </c>
      <c r="E45" s="275">
        <f t="shared" si="3"/>
        <v>293.75500000000005</v>
      </c>
      <c r="F45" s="275">
        <f t="shared" si="3"/>
        <v>705.71249999999998</v>
      </c>
      <c r="G45" s="275" t="str">
        <f t="shared" si="3"/>
        <v/>
      </c>
      <c r="H45" s="275" t="str">
        <f t="shared" si="3"/>
        <v/>
      </c>
      <c r="I45" s="275" t="str">
        <f t="shared" si="3"/>
        <v/>
      </c>
      <c r="J45" s="275" t="str">
        <f t="shared" si="3"/>
        <v/>
      </c>
      <c r="K45" s="275" t="str">
        <f t="shared" si="3"/>
        <v/>
      </c>
      <c r="L45" s="275" t="str">
        <f t="shared" si="3"/>
        <v/>
      </c>
      <c r="M45" s="275" t="str">
        <f t="shared" si="3"/>
        <v/>
      </c>
      <c r="N45" s="275" t="str">
        <f t="shared" si="3"/>
        <v/>
      </c>
      <c r="O45" s="275" t="str">
        <f t="shared" si="3"/>
        <v/>
      </c>
      <c r="P45" s="275" t="str">
        <f t="shared" si="3"/>
        <v/>
      </c>
      <c r="Q45" s="275" t="str">
        <f t="shared" si="3"/>
        <v/>
      </c>
      <c r="R45" s="275" t="str">
        <f t="shared" si="3"/>
        <v/>
      </c>
      <c r="S45" s="275" t="str">
        <f t="shared" si="3"/>
        <v/>
      </c>
      <c r="T45" s="275" t="str">
        <f t="shared" si="3"/>
        <v/>
      </c>
      <c r="U45" s="275" t="str">
        <f t="shared" si="3"/>
        <v/>
      </c>
    </row>
    <row r="46" spans="1:21" s="200" customFormat="1">
      <c r="A46" s="199"/>
      <c r="B46" s="262"/>
      <c r="C46" s="275"/>
      <c r="D46" s="275"/>
      <c r="E46" s="275"/>
      <c r="F46" s="275"/>
      <c r="G46" s="275"/>
      <c r="H46" s="275"/>
      <c r="I46" s="275"/>
      <c r="J46" s="275"/>
      <c r="K46" s="275"/>
      <c r="L46" s="275"/>
      <c r="M46" s="275"/>
      <c r="N46" s="275"/>
      <c r="O46" s="276"/>
      <c r="P46" s="276"/>
      <c r="Q46" s="276"/>
      <c r="R46" s="276"/>
      <c r="S46" s="276"/>
      <c r="T46" s="276"/>
      <c r="U46" s="276"/>
    </row>
    <row r="47" spans="1:21" s="200" customFormat="1">
      <c r="A47" s="199"/>
      <c r="B47" s="262" t="s">
        <v>202</v>
      </c>
      <c r="C47" s="275">
        <f>IF(C25="","",C32*0.172)</f>
        <v>0</v>
      </c>
      <c r="D47" s="275">
        <f t="shared" ref="D47:U47" si="4">IF(D25="","",D32*0.172)</f>
        <v>0</v>
      </c>
      <c r="E47" s="275">
        <f t="shared" si="4"/>
        <v>0</v>
      </c>
      <c r="F47" s="275">
        <f t="shared" si="4"/>
        <v>0</v>
      </c>
      <c r="G47" s="275" t="str">
        <f t="shared" si="4"/>
        <v/>
      </c>
      <c r="H47" s="275" t="str">
        <f t="shared" si="4"/>
        <v/>
      </c>
      <c r="I47" s="275" t="str">
        <f t="shared" si="4"/>
        <v/>
      </c>
      <c r="J47" s="275" t="str">
        <f t="shared" si="4"/>
        <v/>
      </c>
      <c r="K47" s="275" t="str">
        <f t="shared" si="4"/>
        <v/>
      </c>
      <c r="L47" s="275" t="str">
        <f t="shared" si="4"/>
        <v/>
      </c>
      <c r="M47" s="275" t="str">
        <f t="shared" si="4"/>
        <v/>
      </c>
      <c r="N47" s="275" t="str">
        <f t="shared" si="4"/>
        <v/>
      </c>
      <c r="O47" s="275" t="str">
        <f t="shared" si="4"/>
        <v/>
      </c>
      <c r="P47" s="275" t="str">
        <f t="shared" si="4"/>
        <v/>
      </c>
      <c r="Q47" s="275" t="str">
        <f t="shared" si="4"/>
        <v/>
      </c>
      <c r="R47" s="275" t="str">
        <f t="shared" si="4"/>
        <v/>
      </c>
      <c r="S47" s="275" t="str">
        <f t="shared" si="4"/>
        <v/>
      </c>
      <c r="T47" s="275" t="str">
        <f t="shared" si="4"/>
        <v/>
      </c>
      <c r="U47" s="275" t="str">
        <f t="shared" si="4"/>
        <v/>
      </c>
    </row>
    <row r="48" spans="1:21" s="200" customFormat="1">
      <c r="A48" s="199"/>
      <c r="B48" s="262"/>
      <c r="C48" s="275"/>
      <c r="D48" s="275"/>
      <c r="E48" s="275"/>
      <c r="F48" s="275"/>
      <c r="G48" s="275"/>
      <c r="H48" s="275"/>
      <c r="I48" s="275"/>
      <c r="J48" s="275"/>
      <c r="K48" s="275"/>
      <c r="L48" s="275"/>
      <c r="M48" s="275"/>
      <c r="N48" s="275"/>
      <c r="O48" s="276"/>
      <c r="P48" s="276"/>
      <c r="Q48" s="276"/>
      <c r="R48" s="276"/>
      <c r="S48" s="276"/>
      <c r="T48" s="276"/>
      <c r="U48" s="276"/>
    </row>
    <row r="49" spans="1:21" s="200" customFormat="1">
      <c r="A49" s="199"/>
      <c r="B49" s="262" t="s">
        <v>203</v>
      </c>
      <c r="C49" s="275">
        <f>IF(C25="","",C32*0.6*C43)</f>
        <v>0</v>
      </c>
      <c r="D49" s="275">
        <f t="shared" ref="D49:U49" si="5">IF(D25="","",D32*0.6*D43)</f>
        <v>0</v>
      </c>
      <c r="E49" s="275">
        <f t="shared" si="5"/>
        <v>0</v>
      </c>
      <c r="F49" s="275">
        <f t="shared" si="5"/>
        <v>0</v>
      </c>
      <c r="G49" s="275" t="str">
        <f t="shared" si="5"/>
        <v/>
      </c>
      <c r="H49" s="275" t="str">
        <f t="shared" si="5"/>
        <v/>
      </c>
      <c r="I49" s="275" t="str">
        <f t="shared" si="5"/>
        <v/>
      </c>
      <c r="J49" s="275" t="str">
        <f t="shared" si="5"/>
        <v/>
      </c>
      <c r="K49" s="275" t="str">
        <f t="shared" si="5"/>
        <v/>
      </c>
      <c r="L49" s="275" t="str">
        <f t="shared" si="5"/>
        <v/>
      </c>
      <c r="M49" s="275" t="str">
        <f t="shared" si="5"/>
        <v/>
      </c>
      <c r="N49" s="275" t="str">
        <f t="shared" si="5"/>
        <v/>
      </c>
      <c r="O49" s="275" t="str">
        <f t="shared" si="5"/>
        <v/>
      </c>
      <c r="P49" s="275" t="str">
        <f t="shared" si="5"/>
        <v/>
      </c>
      <c r="Q49" s="275" t="str">
        <f t="shared" si="5"/>
        <v/>
      </c>
      <c r="R49" s="275" t="str">
        <f t="shared" si="5"/>
        <v/>
      </c>
      <c r="S49" s="275" t="str">
        <f t="shared" si="5"/>
        <v/>
      </c>
      <c r="T49" s="275" t="str">
        <f t="shared" si="5"/>
        <v/>
      </c>
      <c r="U49" s="275" t="str">
        <f t="shared" si="5"/>
        <v/>
      </c>
    </row>
    <row r="50" spans="1:21" s="200" customFormat="1">
      <c r="A50" s="199"/>
      <c r="B50" s="262"/>
      <c r="C50" s="275"/>
      <c r="D50" s="275"/>
      <c r="E50" s="275"/>
      <c r="F50" s="275"/>
      <c r="G50" s="275"/>
      <c r="H50" s="275"/>
      <c r="I50" s="275"/>
      <c r="J50" s="275"/>
      <c r="K50" s="275"/>
      <c r="L50" s="275"/>
      <c r="M50" s="275"/>
      <c r="N50" s="275"/>
      <c r="O50" s="276"/>
      <c r="P50" s="276"/>
      <c r="Q50" s="276"/>
      <c r="R50" s="276"/>
      <c r="S50" s="276"/>
      <c r="T50" s="276"/>
      <c r="U50" s="276"/>
    </row>
    <row r="51" spans="1:21" s="200" customFormat="1">
      <c r="A51" s="199"/>
      <c r="B51" s="262" t="s">
        <v>201</v>
      </c>
      <c r="C51" s="275">
        <f>IF(C25="","",C32*0.3)</f>
        <v>0</v>
      </c>
      <c r="D51" s="275">
        <f t="shared" ref="D51:T51" si="6">IF(D25="","",D32*0.3)</f>
        <v>0</v>
      </c>
      <c r="E51" s="275">
        <f t="shared" si="6"/>
        <v>0</v>
      </c>
      <c r="F51" s="275">
        <f t="shared" si="6"/>
        <v>0</v>
      </c>
      <c r="G51" s="275" t="str">
        <f t="shared" si="6"/>
        <v/>
      </c>
      <c r="H51" s="275" t="str">
        <f t="shared" si="6"/>
        <v/>
      </c>
      <c r="I51" s="275" t="str">
        <f t="shared" si="6"/>
        <v/>
      </c>
      <c r="J51" s="275" t="str">
        <f t="shared" si="6"/>
        <v/>
      </c>
      <c r="K51" s="275" t="str">
        <f t="shared" si="6"/>
        <v/>
      </c>
      <c r="L51" s="275" t="str">
        <f t="shared" si="6"/>
        <v/>
      </c>
      <c r="M51" s="275" t="str">
        <f t="shared" si="6"/>
        <v/>
      </c>
      <c r="N51" s="275" t="str">
        <f t="shared" si="6"/>
        <v/>
      </c>
      <c r="O51" s="275" t="str">
        <f t="shared" si="6"/>
        <v/>
      </c>
      <c r="P51" s="275" t="str">
        <f t="shared" si="6"/>
        <v/>
      </c>
      <c r="Q51" s="275" t="str">
        <f t="shared" si="6"/>
        <v/>
      </c>
      <c r="R51" s="275" t="str">
        <f t="shared" si="6"/>
        <v/>
      </c>
      <c r="S51" s="275" t="str">
        <f t="shared" si="6"/>
        <v/>
      </c>
      <c r="T51" s="275" t="str">
        <f t="shared" si="6"/>
        <v/>
      </c>
      <c r="U51" s="275" t="str">
        <f>IF(U25="","",U32*0.3)</f>
        <v/>
      </c>
    </row>
    <row r="52" spans="1:21" s="200" customFormat="1">
      <c r="A52" s="199"/>
      <c r="C52" s="272"/>
      <c r="D52" s="272"/>
      <c r="E52" s="272"/>
      <c r="F52" s="272"/>
      <c r="G52" s="272"/>
      <c r="H52" s="272"/>
      <c r="I52" s="272"/>
      <c r="J52" s="272"/>
      <c r="K52" s="272"/>
      <c r="L52" s="272"/>
      <c r="M52" s="272"/>
      <c r="N52" s="272"/>
      <c r="O52" s="273"/>
      <c r="P52" s="273"/>
      <c r="Q52" s="273"/>
      <c r="R52" s="273"/>
      <c r="S52" s="273"/>
      <c r="T52" s="273"/>
      <c r="U52" s="273"/>
    </row>
    <row r="53" spans="1:21" s="200" customFormat="1" ht="15.75" thickBot="1">
      <c r="A53" s="199"/>
      <c r="B53" s="270"/>
      <c r="C53" s="271"/>
      <c r="D53" s="271"/>
      <c r="E53" s="271"/>
      <c r="F53" s="271"/>
      <c r="G53" s="271"/>
      <c r="H53" s="271"/>
      <c r="I53" s="271"/>
      <c r="J53" s="271"/>
      <c r="K53" s="271"/>
      <c r="L53" s="271"/>
      <c r="M53" s="271"/>
      <c r="N53" s="271"/>
      <c r="O53" s="270"/>
      <c r="P53" s="270"/>
      <c r="Q53" s="270"/>
      <c r="R53" s="270"/>
      <c r="S53" s="270"/>
      <c r="T53" s="270"/>
      <c r="U53" s="270"/>
    </row>
    <row r="54" spans="1:21" s="200" customFormat="1" ht="15.75" thickTop="1">
      <c r="A54" s="199"/>
      <c r="C54" s="199"/>
      <c r="D54" s="199"/>
      <c r="E54" s="199"/>
      <c r="F54" s="199"/>
      <c r="G54" s="199"/>
      <c r="H54" s="199"/>
      <c r="I54" s="199"/>
      <c r="J54" s="199"/>
      <c r="K54" s="199"/>
      <c r="L54" s="199"/>
      <c r="M54" s="199"/>
      <c r="N54" s="199"/>
    </row>
    <row r="55" spans="1:21" s="200" customFormat="1">
      <c r="A55" s="199"/>
      <c r="B55" s="262"/>
      <c r="C55" s="274"/>
      <c r="D55" s="199"/>
      <c r="E55" s="199"/>
      <c r="F55" s="199"/>
      <c r="G55" s="199"/>
      <c r="H55" s="199"/>
      <c r="I55" s="199"/>
      <c r="J55" s="199"/>
      <c r="K55" s="199"/>
      <c r="L55" s="199"/>
      <c r="M55" s="199"/>
      <c r="N55" s="199"/>
    </row>
    <row r="56" spans="1:21" s="200" customFormat="1">
      <c r="A56" s="199"/>
      <c r="C56" s="199"/>
      <c r="D56" s="199"/>
      <c r="E56" s="199"/>
      <c r="F56" s="199"/>
      <c r="G56" s="199"/>
      <c r="H56" s="199"/>
      <c r="I56" s="199"/>
      <c r="J56" s="199"/>
      <c r="K56" s="199"/>
      <c r="L56" s="199"/>
      <c r="M56" s="199"/>
      <c r="N56" s="199"/>
    </row>
    <row r="57" spans="1:21" s="200" customFormat="1">
      <c r="A57" s="199"/>
      <c r="C57" s="199"/>
      <c r="D57" s="199"/>
      <c r="E57" s="199"/>
      <c r="F57" s="199"/>
      <c r="G57" s="199"/>
      <c r="H57" s="199"/>
      <c r="I57" s="199"/>
      <c r="J57" s="199"/>
      <c r="K57" s="199"/>
      <c r="L57" s="199"/>
      <c r="M57" s="199"/>
      <c r="N57" s="199"/>
    </row>
    <row r="58" spans="1:21" s="200" customFormat="1">
      <c r="A58" s="199"/>
      <c r="C58" s="199"/>
      <c r="D58" s="199"/>
      <c r="E58" s="199"/>
      <c r="F58" s="199"/>
      <c r="G58" s="199"/>
      <c r="H58" s="199"/>
      <c r="I58" s="199"/>
      <c r="J58" s="199"/>
      <c r="K58" s="199"/>
      <c r="L58" s="199"/>
      <c r="M58" s="199"/>
      <c r="N58" s="199"/>
    </row>
    <row r="59" spans="1:21" s="200" customFormat="1">
      <c r="A59" s="199"/>
      <c r="C59" s="199"/>
      <c r="D59" s="199"/>
      <c r="E59" s="199"/>
      <c r="F59" s="199"/>
      <c r="G59" s="199"/>
      <c r="H59" s="199"/>
      <c r="I59" s="199"/>
      <c r="J59" s="199"/>
      <c r="K59" s="199"/>
      <c r="L59" s="199"/>
      <c r="M59" s="199"/>
      <c r="N59" s="199"/>
    </row>
    <row r="60" spans="1:21" s="200" customFormat="1">
      <c r="A60" s="199"/>
      <c r="B60" s="199"/>
      <c r="C60" s="199"/>
      <c r="D60" s="199"/>
      <c r="E60" s="199"/>
      <c r="F60" s="199"/>
      <c r="G60" s="199"/>
      <c r="H60" s="199"/>
      <c r="I60" s="199"/>
      <c r="J60" s="199"/>
      <c r="K60" s="199"/>
      <c r="L60" s="199"/>
      <c r="M60" s="199"/>
      <c r="N60" s="199"/>
    </row>
    <row r="61" spans="1:21" s="200" customFormat="1">
      <c r="A61" s="199"/>
      <c r="B61" s="199"/>
      <c r="C61" s="199"/>
      <c r="D61" s="199"/>
      <c r="E61" s="199"/>
      <c r="F61" s="199"/>
      <c r="G61" s="199"/>
      <c r="H61" s="199"/>
      <c r="I61" s="199"/>
      <c r="J61" s="199"/>
      <c r="K61" s="199"/>
      <c r="L61" s="199"/>
      <c r="M61" s="199"/>
      <c r="N61" s="199"/>
    </row>
    <row r="62" spans="1:21" s="200" customFormat="1">
      <c r="A62" s="199"/>
      <c r="B62" s="199"/>
      <c r="C62" s="199"/>
      <c r="D62" s="199"/>
      <c r="E62" s="199"/>
      <c r="F62" s="199"/>
      <c r="G62" s="199"/>
      <c r="H62" s="199"/>
      <c r="I62" s="199"/>
      <c r="J62" s="199"/>
      <c r="K62" s="199"/>
      <c r="L62" s="199"/>
      <c r="M62" s="199"/>
      <c r="N62" s="199"/>
    </row>
    <row r="63" spans="1:21" s="200" customFormat="1">
      <c r="A63" s="199"/>
      <c r="B63" s="199"/>
      <c r="C63" s="199"/>
      <c r="D63" s="199"/>
      <c r="E63" s="199"/>
      <c r="F63" s="199"/>
      <c r="G63" s="199"/>
      <c r="H63" s="199"/>
      <c r="I63" s="199"/>
      <c r="J63" s="199"/>
      <c r="K63" s="199"/>
      <c r="L63" s="199"/>
      <c r="M63" s="199"/>
      <c r="N63" s="199"/>
    </row>
    <row r="64" spans="1:21" s="200" customFormat="1">
      <c r="A64" s="199"/>
      <c r="B64" s="199"/>
      <c r="C64" s="199"/>
      <c r="D64" s="199"/>
      <c r="E64" s="199"/>
      <c r="F64" s="199"/>
      <c r="G64" s="199"/>
      <c r="H64" s="199"/>
      <c r="I64" s="199"/>
      <c r="J64" s="199"/>
      <c r="K64" s="199"/>
      <c r="L64" s="199"/>
      <c r="M64" s="199"/>
      <c r="N64" s="199"/>
    </row>
    <row r="65" spans="1:14" s="200" customFormat="1">
      <c r="A65" s="199"/>
      <c r="B65" s="199"/>
      <c r="C65" s="199"/>
      <c r="D65" s="199"/>
      <c r="E65" s="199"/>
      <c r="F65" s="199"/>
      <c r="G65" s="199"/>
      <c r="H65" s="199"/>
      <c r="I65" s="199"/>
      <c r="J65" s="199"/>
      <c r="K65" s="199"/>
      <c r="L65" s="199"/>
      <c r="M65" s="199"/>
      <c r="N65" s="199"/>
    </row>
    <row r="66" spans="1:14" s="200" customFormat="1">
      <c r="A66" s="199"/>
      <c r="B66" s="199"/>
      <c r="C66" s="199"/>
      <c r="D66" s="199"/>
      <c r="E66" s="199"/>
      <c r="F66" s="199"/>
      <c r="G66" s="199"/>
      <c r="H66" s="199"/>
      <c r="I66" s="199"/>
      <c r="J66" s="199"/>
      <c r="K66" s="199"/>
      <c r="L66" s="199"/>
      <c r="M66" s="199"/>
      <c r="N66" s="199"/>
    </row>
    <row r="67" spans="1:14" s="200" customFormat="1">
      <c r="A67" s="199"/>
      <c r="B67" s="199"/>
      <c r="C67" s="199"/>
      <c r="D67" s="199"/>
      <c r="E67" s="199"/>
      <c r="F67" s="199"/>
      <c r="G67" s="199"/>
      <c r="H67" s="199"/>
      <c r="I67" s="199"/>
      <c r="J67" s="199"/>
      <c r="K67" s="199"/>
      <c r="L67" s="199"/>
      <c r="M67" s="199"/>
      <c r="N67" s="199"/>
    </row>
    <row r="68" spans="1:14" s="200" customFormat="1">
      <c r="A68" s="199"/>
      <c r="B68" s="199"/>
      <c r="C68" s="199"/>
      <c r="D68" s="199"/>
      <c r="E68" s="199"/>
      <c r="F68" s="199"/>
      <c r="G68" s="199"/>
      <c r="H68" s="199"/>
      <c r="I68" s="199"/>
      <c r="J68" s="199"/>
      <c r="K68" s="199"/>
      <c r="L68" s="199"/>
      <c r="M68" s="199"/>
      <c r="N68" s="199"/>
    </row>
    <row r="69" spans="1:14" s="200" customFormat="1">
      <c r="A69" s="199"/>
      <c r="B69" s="199"/>
      <c r="C69" s="199"/>
      <c r="D69" s="199"/>
      <c r="E69" s="199"/>
      <c r="F69" s="199"/>
      <c r="G69" s="199"/>
      <c r="H69" s="199"/>
      <c r="I69" s="199"/>
      <c r="J69" s="199"/>
      <c r="K69" s="199"/>
      <c r="L69" s="199"/>
      <c r="M69" s="199"/>
      <c r="N69" s="199"/>
    </row>
    <row r="70" spans="1:14" s="200" customFormat="1">
      <c r="A70" s="199"/>
      <c r="B70" s="199"/>
      <c r="C70" s="199"/>
      <c r="D70" s="199"/>
      <c r="E70" s="199"/>
      <c r="F70" s="199"/>
      <c r="G70" s="199"/>
      <c r="H70" s="199"/>
      <c r="I70" s="199"/>
      <c r="J70" s="199"/>
      <c r="K70" s="199"/>
      <c r="L70" s="199"/>
      <c r="M70" s="199"/>
      <c r="N70" s="199"/>
    </row>
    <row r="71" spans="1:14" s="200" customFormat="1">
      <c r="A71" s="199"/>
      <c r="B71" s="199"/>
      <c r="C71" s="199"/>
      <c r="D71" s="199"/>
      <c r="E71" s="199"/>
      <c r="F71" s="199"/>
      <c r="G71" s="199"/>
      <c r="H71" s="199"/>
      <c r="I71" s="199"/>
      <c r="J71" s="199"/>
      <c r="K71" s="199"/>
      <c r="L71" s="199"/>
      <c r="M71" s="199"/>
      <c r="N71" s="199"/>
    </row>
    <row r="72" spans="1:14" s="200" customFormat="1">
      <c r="A72" s="199"/>
      <c r="B72" s="199"/>
      <c r="C72" s="199"/>
      <c r="D72" s="199"/>
      <c r="E72" s="199"/>
      <c r="F72" s="199"/>
      <c r="G72" s="199"/>
      <c r="H72" s="199"/>
      <c r="I72" s="199"/>
      <c r="J72" s="199"/>
      <c r="K72" s="199"/>
      <c r="L72" s="199"/>
      <c r="M72" s="199"/>
      <c r="N72" s="199"/>
    </row>
    <row r="73" spans="1:14" s="200" customFormat="1">
      <c r="A73" s="199"/>
      <c r="B73" s="199"/>
      <c r="C73" s="199"/>
      <c r="D73" s="199"/>
      <c r="E73" s="199"/>
      <c r="F73" s="199"/>
      <c r="G73" s="199"/>
      <c r="H73" s="199"/>
      <c r="I73" s="199"/>
      <c r="J73" s="199"/>
      <c r="K73" s="199"/>
      <c r="L73" s="199"/>
      <c r="M73" s="199"/>
      <c r="N73" s="199"/>
    </row>
    <row r="74" spans="1:14" s="200" customFormat="1">
      <c r="A74" s="199"/>
      <c r="B74" s="199"/>
      <c r="C74" s="199"/>
      <c r="D74" s="199"/>
      <c r="E74" s="199"/>
      <c r="F74" s="199"/>
      <c r="G74" s="199"/>
      <c r="H74" s="199"/>
      <c r="I74" s="199"/>
      <c r="J74" s="199"/>
      <c r="K74" s="199"/>
      <c r="L74" s="199"/>
      <c r="M74" s="199"/>
      <c r="N74" s="199"/>
    </row>
    <row r="75" spans="1:14" s="200" customFormat="1">
      <c r="A75" s="199"/>
      <c r="B75" s="199"/>
      <c r="C75" s="199"/>
      <c r="D75" s="199"/>
      <c r="E75" s="199"/>
      <c r="F75" s="199"/>
      <c r="G75" s="199"/>
      <c r="H75" s="199"/>
      <c r="I75" s="199"/>
      <c r="J75" s="199"/>
      <c r="K75" s="199"/>
      <c r="L75" s="199"/>
      <c r="M75" s="199"/>
      <c r="N75" s="199"/>
    </row>
    <row r="76" spans="1:14" s="200" customFormat="1">
      <c r="A76" s="199"/>
      <c r="B76" s="199"/>
      <c r="C76" s="199"/>
      <c r="D76" s="199"/>
      <c r="E76" s="199"/>
      <c r="F76" s="199"/>
      <c r="G76" s="199"/>
      <c r="H76" s="199"/>
      <c r="I76" s="199"/>
      <c r="J76" s="199"/>
      <c r="K76" s="199"/>
      <c r="L76" s="199"/>
      <c r="M76" s="199"/>
      <c r="N76" s="199"/>
    </row>
    <row r="77" spans="1:14" s="200" customFormat="1">
      <c r="A77" s="199"/>
      <c r="B77" s="199"/>
      <c r="C77" s="199"/>
      <c r="D77" s="199"/>
      <c r="E77" s="199"/>
      <c r="F77" s="199"/>
      <c r="G77" s="199"/>
      <c r="H77" s="199"/>
      <c r="I77" s="199"/>
      <c r="J77" s="199"/>
      <c r="K77" s="199"/>
      <c r="L77" s="199"/>
      <c r="M77" s="199"/>
      <c r="N77" s="199"/>
    </row>
    <row r="78" spans="1:14" s="200" customFormat="1">
      <c r="A78" s="199"/>
      <c r="B78" s="199"/>
      <c r="C78" s="199"/>
      <c r="D78" s="199"/>
      <c r="E78" s="199"/>
      <c r="F78" s="199"/>
      <c r="G78" s="199"/>
      <c r="H78" s="199"/>
      <c r="I78" s="199"/>
      <c r="J78" s="199"/>
      <c r="K78" s="199"/>
      <c r="L78" s="199"/>
      <c r="M78" s="199"/>
      <c r="N78" s="199"/>
    </row>
    <row r="79" spans="1:14" s="200" customFormat="1">
      <c r="A79" s="199"/>
      <c r="B79" s="199"/>
      <c r="C79" s="199"/>
      <c r="D79" s="199"/>
      <c r="E79" s="199"/>
      <c r="F79" s="199"/>
      <c r="G79" s="199"/>
      <c r="H79" s="199"/>
      <c r="I79" s="199"/>
      <c r="J79" s="199"/>
      <c r="K79" s="199"/>
      <c r="L79" s="199"/>
      <c r="M79" s="199"/>
      <c r="N79" s="199"/>
    </row>
    <row r="80" spans="1:14" s="200" customFormat="1">
      <c r="A80" s="199"/>
      <c r="B80" s="199"/>
      <c r="C80" s="199"/>
      <c r="D80" s="199"/>
      <c r="E80" s="199"/>
      <c r="F80" s="199"/>
      <c r="G80" s="199"/>
      <c r="H80" s="199"/>
      <c r="I80" s="199"/>
      <c r="J80" s="199"/>
      <c r="K80" s="199"/>
      <c r="L80" s="199"/>
      <c r="M80" s="199"/>
      <c r="N80" s="199"/>
    </row>
    <row r="81" spans="1:14" s="200" customFormat="1">
      <c r="A81" s="199"/>
      <c r="B81" s="199"/>
      <c r="C81" s="199"/>
      <c r="D81" s="199"/>
      <c r="E81" s="199"/>
      <c r="F81" s="199"/>
      <c r="G81" s="199"/>
      <c r="H81" s="199"/>
      <c r="I81" s="199"/>
      <c r="J81" s="199"/>
      <c r="K81" s="199"/>
      <c r="L81" s="199"/>
      <c r="M81" s="199"/>
      <c r="N81" s="199"/>
    </row>
    <row r="82" spans="1:14" s="200" customFormat="1">
      <c r="A82" s="199"/>
      <c r="B82" s="199"/>
      <c r="C82" s="199"/>
      <c r="D82" s="199"/>
      <c r="E82" s="199"/>
      <c r="F82" s="199"/>
      <c r="G82" s="199"/>
      <c r="H82" s="199"/>
      <c r="I82" s="199"/>
      <c r="J82" s="199"/>
      <c r="K82" s="199"/>
      <c r="L82" s="199"/>
      <c r="M82" s="199"/>
      <c r="N82" s="199"/>
    </row>
    <row r="83" spans="1:14" s="200" customFormat="1">
      <c r="A83" s="199"/>
      <c r="B83" s="199"/>
      <c r="C83" s="199"/>
      <c r="D83" s="199"/>
      <c r="E83" s="199"/>
      <c r="F83" s="199"/>
      <c r="G83" s="199"/>
      <c r="H83" s="199"/>
      <c r="I83" s="199"/>
      <c r="J83" s="199"/>
      <c r="K83" s="199"/>
      <c r="L83" s="199"/>
      <c r="M83" s="199"/>
      <c r="N83" s="199"/>
    </row>
    <row r="84" spans="1:14" s="200" customFormat="1">
      <c r="A84" s="199"/>
      <c r="B84" s="199"/>
      <c r="C84" s="199"/>
      <c r="D84" s="199"/>
      <c r="E84" s="199"/>
      <c r="F84" s="199"/>
      <c r="G84" s="199"/>
      <c r="H84" s="199"/>
      <c r="I84" s="199"/>
      <c r="J84" s="199"/>
      <c r="K84" s="199"/>
      <c r="L84" s="199"/>
      <c r="M84" s="199"/>
      <c r="N84" s="199"/>
    </row>
    <row r="85" spans="1:14" s="200" customFormat="1">
      <c r="A85" s="199"/>
      <c r="B85" s="199"/>
      <c r="C85" s="199"/>
      <c r="D85" s="199"/>
      <c r="E85" s="199"/>
      <c r="F85" s="199"/>
      <c r="G85" s="199"/>
      <c r="H85" s="199"/>
      <c r="I85" s="199"/>
      <c r="J85" s="199"/>
      <c r="K85" s="199"/>
      <c r="L85" s="199"/>
      <c r="M85" s="199"/>
      <c r="N85" s="199"/>
    </row>
    <row r="86" spans="1:14" s="200" customFormat="1">
      <c r="A86" s="199"/>
      <c r="B86" s="199"/>
      <c r="C86" s="199"/>
      <c r="D86" s="199"/>
      <c r="E86" s="199"/>
      <c r="F86" s="199"/>
      <c r="G86" s="199"/>
      <c r="H86" s="199"/>
      <c r="I86" s="199"/>
      <c r="J86" s="199"/>
      <c r="K86" s="199"/>
      <c r="L86" s="199"/>
      <c r="M86" s="199"/>
      <c r="N86" s="199"/>
    </row>
    <row r="87" spans="1:14" s="200" customFormat="1">
      <c r="A87" s="199"/>
      <c r="B87" s="199"/>
      <c r="C87" s="199"/>
      <c r="D87" s="199"/>
      <c r="E87" s="199"/>
      <c r="F87" s="199"/>
      <c r="G87" s="199"/>
      <c r="H87" s="199"/>
      <c r="I87" s="199"/>
      <c r="J87" s="199"/>
      <c r="K87" s="199"/>
      <c r="L87" s="199"/>
      <c r="M87" s="199"/>
      <c r="N87" s="199"/>
    </row>
    <row r="88" spans="1:14" s="200" customFormat="1">
      <c r="A88" s="199"/>
      <c r="B88" s="199"/>
      <c r="C88" s="199"/>
      <c r="D88" s="199"/>
      <c r="E88" s="199"/>
      <c r="F88" s="199"/>
      <c r="G88" s="199"/>
      <c r="H88" s="199"/>
      <c r="I88" s="199"/>
      <c r="J88" s="199"/>
      <c r="K88" s="199"/>
      <c r="L88" s="199"/>
      <c r="M88" s="199"/>
      <c r="N88" s="199"/>
    </row>
    <row r="89" spans="1:14" s="200" customFormat="1">
      <c r="A89" s="199"/>
      <c r="B89" s="199"/>
      <c r="C89" s="199"/>
      <c r="D89" s="199"/>
      <c r="E89" s="199"/>
      <c r="F89" s="199"/>
      <c r="G89" s="199"/>
      <c r="H89" s="199"/>
      <c r="I89" s="199"/>
      <c r="J89" s="199"/>
      <c r="K89" s="199"/>
      <c r="L89" s="199"/>
      <c r="M89" s="199"/>
      <c r="N89" s="199"/>
    </row>
    <row r="90" spans="1:14" s="200" customFormat="1">
      <c r="A90" s="199"/>
      <c r="B90" s="199"/>
      <c r="C90" s="199"/>
      <c r="D90" s="199"/>
      <c r="E90" s="199"/>
      <c r="F90" s="199"/>
      <c r="G90" s="199"/>
      <c r="H90" s="199"/>
      <c r="I90" s="199"/>
      <c r="J90" s="199"/>
      <c r="K90" s="199"/>
      <c r="L90" s="199"/>
      <c r="M90" s="199"/>
      <c r="N90" s="199"/>
    </row>
    <row r="91" spans="1:14" s="200" customFormat="1">
      <c r="A91" s="199"/>
      <c r="B91" s="199"/>
      <c r="C91" s="199"/>
      <c r="D91" s="199"/>
      <c r="E91" s="199"/>
      <c r="F91" s="199"/>
      <c r="G91" s="199"/>
      <c r="H91" s="199"/>
      <c r="I91" s="199"/>
      <c r="J91" s="199"/>
      <c r="K91" s="199"/>
      <c r="L91" s="199"/>
      <c r="M91" s="199"/>
      <c r="N91" s="199"/>
    </row>
    <row r="92" spans="1:14" s="200" customFormat="1">
      <c r="A92" s="199"/>
      <c r="B92" s="199"/>
      <c r="C92" s="199"/>
      <c r="D92" s="199"/>
      <c r="E92" s="199"/>
      <c r="F92" s="199"/>
      <c r="G92" s="199"/>
      <c r="H92" s="199"/>
      <c r="I92" s="199"/>
      <c r="J92" s="199"/>
      <c r="K92" s="199"/>
      <c r="L92" s="199"/>
      <c r="M92" s="199"/>
      <c r="N92" s="199"/>
    </row>
    <row r="93" spans="1:14" s="200" customFormat="1">
      <c r="A93" s="199"/>
      <c r="B93" s="199"/>
      <c r="C93" s="199"/>
      <c r="D93" s="199"/>
      <c r="E93" s="199"/>
      <c r="F93" s="199"/>
      <c r="G93" s="199"/>
      <c r="H93" s="199"/>
      <c r="I93" s="199"/>
      <c r="J93" s="199"/>
      <c r="K93" s="199"/>
      <c r="L93" s="199"/>
      <c r="M93" s="199"/>
      <c r="N93" s="199"/>
    </row>
    <row r="94" spans="1:14" s="200" customFormat="1">
      <c r="A94" s="199"/>
      <c r="B94" s="199"/>
      <c r="C94" s="199"/>
      <c r="D94" s="199"/>
      <c r="E94" s="199"/>
      <c r="F94" s="199"/>
      <c r="G94" s="199"/>
      <c r="H94" s="199"/>
      <c r="I94" s="199"/>
      <c r="J94" s="199"/>
      <c r="K94" s="199"/>
      <c r="L94" s="199"/>
      <c r="M94" s="199"/>
      <c r="N94" s="199"/>
    </row>
    <row r="95" spans="1:14" s="200" customFormat="1">
      <c r="A95" s="199"/>
      <c r="B95" s="199"/>
      <c r="C95" s="199"/>
      <c r="D95" s="199"/>
      <c r="E95" s="199"/>
      <c r="F95" s="199"/>
      <c r="G95" s="199"/>
      <c r="H95" s="199"/>
      <c r="I95" s="199"/>
      <c r="J95" s="199"/>
      <c r="K95" s="199"/>
      <c r="L95" s="199"/>
      <c r="M95" s="199"/>
      <c r="N95" s="199"/>
    </row>
    <row r="96" spans="1:14" s="200" customFormat="1">
      <c r="A96" s="199"/>
      <c r="B96" s="199"/>
      <c r="C96" s="199"/>
      <c r="D96" s="199"/>
      <c r="E96" s="199"/>
      <c r="F96" s="199"/>
      <c r="G96" s="199"/>
      <c r="H96" s="199"/>
      <c r="I96" s="199"/>
      <c r="J96" s="199"/>
      <c r="K96" s="199"/>
      <c r="L96" s="199"/>
      <c r="M96" s="199"/>
      <c r="N96" s="199"/>
    </row>
    <row r="97" spans="1:14">
      <c r="A97" s="20"/>
      <c r="B97" s="20"/>
      <c r="C97" s="20"/>
      <c r="D97" s="20"/>
      <c r="E97" s="20"/>
      <c r="F97" s="20"/>
      <c r="G97" s="20"/>
      <c r="H97" s="20"/>
      <c r="I97" s="20"/>
      <c r="J97" s="20"/>
      <c r="K97" s="20"/>
      <c r="L97" s="20"/>
      <c r="M97" s="20"/>
      <c r="N97" s="20"/>
    </row>
    <row r="98" spans="1:14">
      <c r="A98" s="20"/>
      <c r="B98" s="20"/>
      <c r="C98" s="20"/>
      <c r="D98" s="20"/>
      <c r="E98" s="20"/>
      <c r="F98" s="20"/>
      <c r="G98" s="20"/>
      <c r="H98" s="20"/>
      <c r="I98" s="20"/>
      <c r="J98" s="20"/>
      <c r="K98" s="20"/>
      <c r="L98" s="20"/>
      <c r="M98" s="20"/>
      <c r="N98" s="20"/>
    </row>
    <row r="99" spans="1:14">
      <c r="A99" s="20"/>
      <c r="B99" s="20"/>
      <c r="C99" s="20"/>
      <c r="D99" s="20"/>
      <c r="E99" s="20"/>
      <c r="F99" s="20"/>
      <c r="G99" s="20"/>
      <c r="H99" s="20"/>
      <c r="I99" s="20"/>
      <c r="J99" s="20"/>
      <c r="K99" s="20"/>
      <c r="L99" s="20"/>
      <c r="M99" s="20"/>
      <c r="N99" s="20"/>
    </row>
    <row r="100" spans="1:14">
      <c r="A100" s="20"/>
      <c r="B100" s="20"/>
      <c r="C100" s="20"/>
      <c r="D100" s="20"/>
      <c r="E100" s="20"/>
      <c r="F100" s="20"/>
      <c r="G100" s="20"/>
      <c r="H100" s="20"/>
      <c r="I100" s="20"/>
      <c r="J100" s="20"/>
      <c r="K100" s="20"/>
      <c r="L100" s="20"/>
      <c r="M100" s="20"/>
      <c r="N100" s="20"/>
    </row>
    <row r="101" spans="1:14">
      <c r="A101" s="20"/>
      <c r="B101" s="20"/>
      <c r="C101" s="20"/>
      <c r="D101" s="20"/>
      <c r="E101" s="20"/>
      <c r="F101" s="20"/>
      <c r="G101" s="20"/>
      <c r="H101" s="20"/>
      <c r="I101" s="20"/>
      <c r="J101" s="20"/>
      <c r="K101" s="20"/>
      <c r="L101" s="20"/>
      <c r="M101" s="20"/>
      <c r="N101" s="20"/>
    </row>
    <row r="102" spans="1:14">
      <c r="A102" s="20"/>
      <c r="B102" s="20"/>
      <c r="C102" s="20"/>
      <c r="D102" s="20"/>
      <c r="E102" s="20"/>
      <c r="F102" s="20"/>
      <c r="G102" s="20"/>
      <c r="H102" s="20"/>
      <c r="I102" s="20"/>
      <c r="J102" s="20"/>
      <c r="K102" s="20"/>
      <c r="L102" s="20"/>
      <c r="M102" s="20"/>
      <c r="N102" s="20"/>
    </row>
    <row r="103" spans="1:14">
      <c r="A103" s="20"/>
      <c r="B103" s="20"/>
      <c r="C103" s="20"/>
      <c r="D103" s="20"/>
      <c r="E103" s="20"/>
      <c r="F103" s="20"/>
      <c r="G103" s="20"/>
      <c r="H103" s="20"/>
      <c r="I103" s="20"/>
      <c r="J103" s="20"/>
      <c r="K103" s="20"/>
      <c r="L103" s="20"/>
      <c r="M103" s="20"/>
      <c r="N103" s="20"/>
    </row>
    <row r="104" spans="1:14">
      <c r="A104" s="20"/>
      <c r="B104" s="20"/>
      <c r="C104" s="20"/>
      <c r="D104" s="20"/>
      <c r="E104" s="20"/>
      <c r="F104" s="20"/>
      <c r="G104" s="20"/>
      <c r="H104" s="20"/>
      <c r="I104" s="20"/>
      <c r="J104" s="20"/>
      <c r="K104" s="20"/>
      <c r="L104" s="20"/>
      <c r="M104" s="20"/>
      <c r="N104" s="20"/>
    </row>
  </sheetData>
  <mergeCells count="2">
    <mergeCell ref="C24:U24"/>
    <mergeCell ref="E10:F11"/>
  </mergeCells>
  <conditionalFormatting sqref="E12:L21 A49:XFD49 A51:XFD52">
    <cfRule type="expression" dxfId="3" priority="4">
      <formula>$C$16="Impôt sur le revenu"</formula>
    </cfRule>
  </conditionalFormatting>
  <conditionalFormatting sqref="A30:XFD30">
    <cfRule type="expression" dxfId="2" priority="3">
      <formula>$C$16="Impôt sur les sociétés"</formula>
    </cfRule>
  </conditionalFormatting>
  <conditionalFormatting sqref="A32:XFD32">
    <cfRule type="expression" dxfId="1" priority="2">
      <formula>$C$16="Impôt sur le revenu"</formula>
    </cfRule>
  </conditionalFormatting>
  <conditionalFormatting sqref="A47:XFD47">
    <cfRule type="expression" dxfId="0" priority="1">
      <formula>$C$16="Impôt sur le revenu"</formula>
    </cfRule>
  </conditionalFormatting>
  <dataValidations count="1">
    <dataValidation type="list" allowBlank="1" showInputMessage="1" showErrorMessage="1" sqref="G18">
      <formula1>choix</formula1>
    </dataValidation>
  </dataValidations>
  <hyperlinks>
    <hyperlink ref="E10:F11" location="'Sommaire général'!A1" display="Sommair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G10" sqref="G10:H11"/>
    </sheetView>
  </sheetViews>
  <sheetFormatPr baseColWidth="10" defaultRowHeight="15"/>
  <cols>
    <col min="4" max="4" width="24.28515625" customWidth="1"/>
    <col min="5" max="5" width="27.42578125" bestFit="1" customWidth="1"/>
    <col min="6" max="6" width="12.7109375" bestFit="1" customWidth="1"/>
  </cols>
  <sheetData>
    <row r="1" spans="1:8" ht="21">
      <c r="A1" s="1"/>
      <c r="B1" s="2"/>
      <c r="C1" s="2"/>
      <c r="D1" s="2"/>
      <c r="E1" s="2"/>
      <c r="F1" s="14"/>
      <c r="G1" s="14"/>
      <c r="H1" s="14"/>
    </row>
    <row r="2" spans="1:8">
      <c r="A2" s="3"/>
      <c r="B2" s="4"/>
      <c r="C2" s="4"/>
      <c r="D2" s="4"/>
      <c r="E2" s="4"/>
      <c r="F2" s="15"/>
      <c r="G2" s="16"/>
      <c r="H2" s="16"/>
    </row>
    <row r="3" spans="1:8">
      <c r="A3" s="3"/>
      <c r="B3" s="4"/>
      <c r="C3" s="4"/>
      <c r="D3" s="4"/>
      <c r="E3" s="4"/>
      <c r="F3" s="4"/>
      <c r="G3" s="4"/>
      <c r="H3" s="4"/>
    </row>
    <row r="4" spans="1:8">
      <c r="A4" s="3" t="s">
        <v>0</v>
      </c>
      <c r="B4" s="5"/>
      <c r="C4" s="4"/>
      <c r="D4" s="3"/>
      <c r="E4" s="3"/>
      <c r="F4" s="6" t="s">
        <v>1</v>
      </c>
      <c r="G4" s="7"/>
      <c r="H4" s="3"/>
    </row>
    <row r="5" spans="1:8">
      <c r="A5" s="3" t="s">
        <v>2</v>
      </c>
      <c r="B5" s="8"/>
      <c r="C5" s="4"/>
      <c r="D5" s="4"/>
      <c r="E5" s="4"/>
      <c r="F5" s="6" t="s">
        <v>3</v>
      </c>
      <c r="G5" s="9"/>
      <c r="H5" s="3"/>
    </row>
    <row r="6" spans="1:8">
      <c r="A6" s="3" t="s">
        <v>4</v>
      </c>
      <c r="B6" s="10"/>
      <c r="C6" s="4"/>
      <c r="D6" s="4"/>
      <c r="E6" s="4"/>
      <c r="F6" s="6"/>
      <c r="G6" s="7"/>
      <c r="H6" s="3"/>
    </row>
    <row r="7" spans="1:8">
      <c r="A7" s="3" t="s">
        <v>5</v>
      </c>
      <c r="B7" s="11"/>
      <c r="C7" s="4"/>
      <c r="D7" s="4"/>
      <c r="E7" s="4"/>
      <c r="F7" s="6" t="s">
        <v>6</v>
      </c>
      <c r="G7" s="7"/>
      <c r="H7" s="3"/>
    </row>
    <row r="8" spans="1:8">
      <c r="A8" s="3"/>
      <c r="B8" s="12"/>
      <c r="C8" s="4"/>
      <c r="D8" s="4"/>
      <c r="E8" s="4"/>
      <c r="F8" s="6" t="s">
        <v>3</v>
      </c>
      <c r="G8" s="9"/>
      <c r="H8" s="3"/>
    </row>
    <row r="9" spans="1:8" ht="15.75" thickBot="1">
      <c r="A9" s="13"/>
      <c r="B9" s="13"/>
      <c r="C9" s="13"/>
      <c r="D9" s="13"/>
      <c r="E9" s="13"/>
      <c r="F9" s="13"/>
      <c r="G9" s="4"/>
      <c r="H9" s="4"/>
    </row>
    <row r="10" spans="1:8">
      <c r="A10" s="4"/>
      <c r="B10" s="4"/>
      <c r="C10" s="4"/>
      <c r="D10" s="4"/>
      <c r="E10" s="4"/>
      <c r="F10" s="4"/>
      <c r="G10" s="369" t="s">
        <v>131</v>
      </c>
      <c r="H10" s="370"/>
    </row>
    <row r="11" spans="1:8" ht="15.75" thickBot="1">
      <c r="A11" s="3"/>
      <c r="B11" s="4"/>
      <c r="C11" s="4"/>
      <c r="D11" s="4"/>
      <c r="E11" s="4"/>
      <c r="F11" s="4"/>
      <c r="G11" s="371"/>
      <c r="H11" s="372"/>
    </row>
    <row r="12" spans="1:8">
      <c r="G12" s="17"/>
    </row>
    <row r="13" spans="1:8">
      <c r="B13" t="s">
        <v>8</v>
      </c>
      <c r="E13" s="18" t="s">
        <v>10</v>
      </c>
      <c r="H13" s="40">
        <f>IF(ISBLANK(E13),1,2)</f>
        <v>2</v>
      </c>
    </row>
    <row r="14" spans="1:8">
      <c r="E14" s="20"/>
      <c r="H14" s="40"/>
    </row>
    <row r="15" spans="1:8">
      <c r="H15" s="40"/>
    </row>
    <row r="16" spans="1:8">
      <c r="B16" t="s">
        <v>12</v>
      </c>
      <c r="E16" s="18" t="s">
        <v>13</v>
      </c>
      <c r="F16" s="31" t="str">
        <f>IF(E13="Impôt sur le revenu",IF(E16="IS - Engagement","Erreur - merci de corriger",""),"")</f>
        <v/>
      </c>
      <c r="H16" s="40">
        <f>IF(ISBLANK(E16),1,2)</f>
        <v>2</v>
      </c>
    </row>
    <row r="17" spans="2:9">
      <c r="F17" s="31" t="str">
        <f>IF(E13="Impôt sur les sociétés",IF(E16&lt;&gt;"IS - Engagement","Erreur - merci de corriger",""),"")</f>
        <v/>
      </c>
      <c r="H17" s="40"/>
    </row>
    <row r="18" spans="2:9">
      <c r="H18" s="40"/>
    </row>
    <row r="19" spans="2:9">
      <c r="B19" t="s">
        <v>17</v>
      </c>
      <c r="E19" s="18" t="s">
        <v>19</v>
      </c>
      <c r="H19" s="40">
        <f>IF(ISBLANK(E19),1,2)</f>
        <v>2</v>
      </c>
    </row>
    <row r="20" spans="2:9">
      <c r="H20" s="40"/>
    </row>
    <row r="21" spans="2:9">
      <c r="H21" s="40"/>
    </row>
    <row r="22" spans="2:9">
      <c r="B22" t="s">
        <v>21</v>
      </c>
      <c r="D22" t="str">
        <f>IF(ISBLANK(E19),"",IF(E19="Fixe","","minimum"))</f>
        <v/>
      </c>
      <c r="E22" s="32">
        <v>40000</v>
      </c>
      <c r="H22" s="40">
        <f>IF(ISBLANK(E22),1,2)</f>
        <v>2</v>
      </c>
    </row>
    <row r="23" spans="2:9">
      <c r="H23" s="40"/>
    </row>
    <row r="24" spans="2:9">
      <c r="H24" s="40"/>
    </row>
    <row r="25" spans="2:9">
      <c r="B25" t="s">
        <v>22</v>
      </c>
      <c r="E25" s="18">
        <v>40000</v>
      </c>
      <c r="H25" s="40">
        <f>IF(ISBLANK(E25),1,2)</f>
        <v>2</v>
      </c>
      <c r="I25" s="31" t="str">
        <f>IF(SUM('Liste des professionnels'!F8:F26)&lt;&gt;'Fiche d''identification'!E25,"Le nombre de parts par associé n'égale pas le capital social","")</f>
        <v/>
      </c>
    </row>
    <row r="26" spans="2:9">
      <c r="E26" s="20"/>
      <c r="H26" s="40"/>
    </row>
    <row r="27" spans="2:9">
      <c r="H27" s="40"/>
    </row>
    <row r="28" spans="2:9">
      <c r="B28" s="41" t="s">
        <v>130</v>
      </c>
      <c r="H28" s="40"/>
    </row>
    <row r="29" spans="2:9">
      <c r="B29" s="41"/>
      <c r="H29" s="40"/>
    </row>
    <row r="30" spans="2:9">
      <c r="B30" s="41"/>
      <c r="H30" s="40"/>
    </row>
    <row r="31" spans="2:9">
      <c r="B31" t="s">
        <v>23</v>
      </c>
      <c r="E31" s="18">
        <f>'Liste des professionnels'!I6+'Liste des professionnels'!J6</f>
        <v>4</v>
      </c>
      <c r="H31" s="40">
        <f>IF(ISBLANK(E31),1,2)</f>
        <v>2</v>
      </c>
    </row>
    <row r="32" spans="2:9">
      <c r="D32" s="31" t="str">
        <f>IF(E31&lt;3,"Les conditions de fond ne sont pas remplies, trois associés minimums sont requis","")</f>
        <v/>
      </c>
      <c r="H32" s="40"/>
    </row>
    <row r="33" spans="2:8">
      <c r="H33" s="40"/>
    </row>
    <row r="34" spans="2:8">
      <c r="B34" s="33" t="s">
        <v>71</v>
      </c>
      <c r="E34" s="18">
        <f>+'Liste des professionnels'!I6</f>
        <v>1</v>
      </c>
      <c r="H34" s="40">
        <f>IF(ISBLANK(E34),1,2)</f>
        <v>2</v>
      </c>
    </row>
    <row r="35" spans="2:8">
      <c r="D35" s="31" t="str">
        <f>IF(E34&lt;1,"Les conditions de fond ne sont pas remplies, une profession para-médicale minimum est requise","")</f>
        <v/>
      </c>
    </row>
    <row r="37" spans="2:8">
      <c r="B37" s="33" t="s">
        <v>72</v>
      </c>
      <c r="E37" s="18">
        <f>+'Liste des professionnels'!J6</f>
        <v>3</v>
      </c>
      <c r="H37" s="40">
        <f>IF(ISBLANK(E37),1,2)</f>
        <v>2</v>
      </c>
    </row>
    <row r="38" spans="2:8">
      <c r="D38" s="31" t="str">
        <f>IF(E37&lt;2,"Les conditions de fond ne sont pas remplies, deux professions médicales sont requises","")</f>
        <v/>
      </c>
    </row>
    <row r="40" spans="2:8">
      <c r="B40" s="33" t="s">
        <v>121</v>
      </c>
      <c r="E40" s="18">
        <f>+'Liste des professionnels'!K6</f>
        <v>2</v>
      </c>
      <c r="H40" s="40">
        <f>IF(ISBLANK(E40),1,2)</f>
        <v>2</v>
      </c>
    </row>
    <row r="41" spans="2:8">
      <c r="D41" s="31" t="str">
        <f>IF(E40&lt;2,"Les conditions de fond ne sont pas remplies, deux médecins","")</f>
        <v/>
      </c>
    </row>
  </sheetData>
  <mergeCells count="1">
    <mergeCell ref="G10:H11"/>
  </mergeCells>
  <dataValidations count="4">
    <dataValidation type="list" showInputMessage="1" showErrorMessage="1" sqref="E13">
      <formula1>regime_fiscal</formula1>
    </dataValidation>
    <dataValidation type="list" showInputMessage="1" showErrorMessage="1" sqref="E16">
      <formula1>option_comptable</formula1>
    </dataValidation>
    <dataValidation type="list" showInputMessage="1" showErrorMessage="1" sqref="E19">
      <formula1>structure_du_capital</formula1>
    </dataValidation>
    <dataValidation showDropDown="1" showInputMessage="1" showErrorMessage="1" sqref="E14"/>
  </dataValidations>
  <hyperlinks>
    <hyperlink ref="B28" location="'Liste des professionnels'!A1" display="Merci de remplir la fiche d'identification des associés"/>
    <hyperlink ref="G10:H11" location="'Sommaire général'!A1" display="Sommaire"/>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9" id="{EE758ED8-D4AD-427F-8CB7-F864C8615311}">
            <x14:iconSet iconSet="3Symbols" custom="1">
              <x14:cfvo type="percent">
                <xm:f>0</xm:f>
              </x14:cfvo>
              <x14:cfvo type="num">
                <xm:f>0</xm:f>
              </x14:cfvo>
              <x14:cfvo type="num">
                <xm:f>2</xm:f>
              </x14:cfvo>
              <x14:cfIcon iconSet="3Symbols" iconId="0"/>
              <x14:cfIcon iconSet="3Symbols" iconId="0"/>
              <x14:cfIcon iconSet="3Symbols" iconId="2"/>
            </x14:iconSet>
          </x14:cfRule>
          <xm:sqref>H13</xm:sqref>
        </x14:conditionalFormatting>
        <x14:conditionalFormatting xmlns:xm="http://schemas.microsoft.com/office/excel/2006/main">
          <x14:cfRule type="iconSet" priority="8" id="{9E62C2AC-636D-4DF4-8A47-97F3C8AF6DED}">
            <x14:iconSet iconSet="3Symbols" custom="1">
              <x14:cfvo type="percent">
                <xm:f>0</xm:f>
              </x14:cfvo>
              <x14:cfvo type="num">
                <xm:f>0</xm:f>
              </x14:cfvo>
              <x14:cfvo type="num">
                <xm:f>2</xm:f>
              </x14:cfvo>
              <x14:cfIcon iconSet="3Symbols" iconId="0"/>
              <x14:cfIcon iconSet="3Symbols" iconId="0"/>
              <x14:cfIcon iconSet="3Symbols" iconId="2"/>
            </x14:iconSet>
          </x14:cfRule>
          <xm:sqref>H16</xm:sqref>
        </x14:conditionalFormatting>
        <x14:conditionalFormatting xmlns:xm="http://schemas.microsoft.com/office/excel/2006/main">
          <x14:cfRule type="iconSet" priority="7" id="{84B0C947-89CC-47F8-896A-2ADD553409B7}">
            <x14:iconSet iconSet="3Symbols" custom="1">
              <x14:cfvo type="percent">
                <xm:f>0</xm:f>
              </x14:cfvo>
              <x14:cfvo type="num">
                <xm:f>0</xm:f>
              </x14:cfvo>
              <x14:cfvo type="num">
                <xm:f>2</xm:f>
              </x14:cfvo>
              <x14:cfIcon iconSet="3Symbols" iconId="0"/>
              <x14:cfIcon iconSet="3Symbols" iconId="0"/>
              <x14:cfIcon iconSet="3Symbols" iconId="2"/>
            </x14:iconSet>
          </x14:cfRule>
          <xm:sqref>H19</xm:sqref>
        </x14:conditionalFormatting>
        <x14:conditionalFormatting xmlns:xm="http://schemas.microsoft.com/office/excel/2006/main">
          <x14:cfRule type="iconSet" priority="6" id="{6B0EE4DC-49B8-46BA-AD8F-6DC0A80907E5}">
            <x14:iconSet iconSet="3Symbols" custom="1">
              <x14:cfvo type="percent">
                <xm:f>0</xm:f>
              </x14:cfvo>
              <x14:cfvo type="num">
                <xm:f>0</xm:f>
              </x14:cfvo>
              <x14:cfvo type="num">
                <xm:f>2</xm:f>
              </x14:cfvo>
              <x14:cfIcon iconSet="3Symbols" iconId="0"/>
              <x14:cfIcon iconSet="3Symbols" iconId="0"/>
              <x14:cfIcon iconSet="3Symbols" iconId="2"/>
            </x14:iconSet>
          </x14:cfRule>
          <xm:sqref>H22</xm:sqref>
        </x14:conditionalFormatting>
        <x14:conditionalFormatting xmlns:xm="http://schemas.microsoft.com/office/excel/2006/main">
          <x14:cfRule type="iconSet" priority="5" id="{600C9167-BCDF-4826-A9C1-356F078EF6BD}">
            <x14:iconSet iconSet="3Symbols" custom="1">
              <x14:cfvo type="percent">
                <xm:f>0</xm:f>
              </x14:cfvo>
              <x14:cfvo type="num">
                <xm:f>0</xm:f>
              </x14:cfvo>
              <x14:cfvo type="num">
                <xm:f>2</xm:f>
              </x14:cfvo>
              <x14:cfIcon iconSet="3Symbols" iconId="0"/>
              <x14:cfIcon iconSet="3Symbols" iconId="0"/>
              <x14:cfIcon iconSet="3Symbols" iconId="2"/>
            </x14:iconSet>
          </x14:cfRule>
          <xm:sqref>H25:H26</xm:sqref>
        </x14:conditionalFormatting>
        <x14:conditionalFormatting xmlns:xm="http://schemas.microsoft.com/office/excel/2006/main">
          <x14:cfRule type="iconSet" priority="4" id="{2E18AA85-0DEF-4157-80E5-F3FA745AB881}">
            <x14:iconSet iconSet="3Symbols" custom="1">
              <x14:cfvo type="percent">
                <xm:f>0</xm:f>
              </x14:cfvo>
              <x14:cfvo type="num">
                <xm:f>0</xm:f>
              </x14:cfvo>
              <x14:cfvo type="num">
                <xm:f>2</xm:f>
              </x14:cfvo>
              <x14:cfIcon iconSet="3Symbols" iconId="0"/>
              <x14:cfIcon iconSet="3Symbols" iconId="0"/>
              <x14:cfIcon iconSet="3Symbols" iconId="2"/>
            </x14:iconSet>
          </x14:cfRule>
          <xm:sqref>H31</xm:sqref>
        </x14:conditionalFormatting>
        <x14:conditionalFormatting xmlns:xm="http://schemas.microsoft.com/office/excel/2006/main">
          <x14:cfRule type="iconSet" priority="3" id="{36C961B9-F753-47BD-BA93-EAF9D9937097}">
            <x14:iconSet iconSet="3Symbols" custom="1">
              <x14:cfvo type="percent">
                <xm:f>0</xm:f>
              </x14:cfvo>
              <x14:cfvo type="num">
                <xm:f>0</xm:f>
              </x14:cfvo>
              <x14:cfvo type="num">
                <xm:f>2</xm:f>
              </x14:cfvo>
              <x14:cfIcon iconSet="3Symbols" iconId="0"/>
              <x14:cfIcon iconSet="3Symbols" iconId="0"/>
              <x14:cfIcon iconSet="3Symbols" iconId="2"/>
            </x14:iconSet>
          </x14:cfRule>
          <xm:sqref>H34</xm:sqref>
        </x14:conditionalFormatting>
        <x14:conditionalFormatting xmlns:xm="http://schemas.microsoft.com/office/excel/2006/main">
          <x14:cfRule type="iconSet" priority="2" id="{0AB5C4D6-23AC-4B1E-B995-C39C35F1135D}">
            <x14:iconSet iconSet="3Symbols" custom="1">
              <x14:cfvo type="percent">
                <xm:f>0</xm:f>
              </x14:cfvo>
              <x14:cfvo type="num">
                <xm:f>0</xm:f>
              </x14:cfvo>
              <x14:cfvo type="num">
                <xm:f>2</xm:f>
              </x14:cfvo>
              <x14:cfIcon iconSet="3Symbols" iconId="0"/>
              <x14:cfIcon iconSet="3Symbols" iconId="0"/>
              <x14:cfIcon iconSet="3Symbols" iconId="2"/>
            </x14:iconSet>
          </x14:cfRule>
          <xm:sqref>H37</xm:sqref>
        </x14:conditionalFormatting>
        <x14:conditionalFormatting xmlns:xm="http://schemas.microsoft.com/office/excel/2006/main">
          <x14:cfRule type="iconSet" priority="1" id="{4A287CA9-7815-4786-AD7A-3D5F47B16323}">
            <x14:iconSet iconSet="3Symbols" custom="1">
              <x14:cfvo type="percent">
                <xm:f>0</xm:f>
              </x14:cfvo>
              <x14:cfvo type="num">
                <xm:f>0</xm:f>
              </x14:cfvo>
              <x14:cfvo type="num">
                <xm:f>2</xm:f>
              </x14:cfvo>
              <x14:cfIcon iconSet="3Symbols" iconId="0"/>
              <x14:cfIcon iconSet="3Symbols" iconId="0"/>
              <x14:cfIcon iconSet="3Symbols" iconId="2"/>
            </x14:iconSet>
          </x14:cfRule>
          <xm:sqref>H40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2"/>
  <sheetViews>
    <sheetView zoomScale="70" zoomScaleNormal="70" workbookViewId="0">
      <selection activeCell="I1" sqref="I1:J2"/>
    </sheetView>
  </sheetViews>
  <sheetFormatPr baseColWidth="10" defaultRowHeight="15"/>
  <cols>
    <col min="3" max="3" width="42.42578125" customWidth="1"/>
    <col min="4" max="8" width="26.7109375" customWidth="1"/>
    <col min="9" max="9" width="24" bestFit="1" customWidth="1"/>
    <col min="10" max="10" width="28.42578125" bestFit="1" customWidth="1"/>
    <col min="11" max="11" width="21.28515625" bestFit="1" customWidth="1"/>
  </cols>
  <sheetData>
    <row r="1" spans="1:11" ht="59.25" customHeight="1">
      <c r="A1" s="373" t="s">
        <v>37</v>
      </c>
      <c r="B1" s="374"/>
      <c r="C1" s="374"/>
      <c r="D1" s="374"/>
      <c r="E1" s="374"/>
      <c r="F1" s="374"/>
      <c r="G1" s="374"/>
      <c r="H1" s="374"/>
      <c r="I1" s="369" t="s">
        <v>131</v>
      </c>
      <c r="J1" s="370"/>
    </row>
    <row r="2" spans="1:11" ht="23.25" thickBot="1">
      <c r="A2" s="375" t="s">
        <v>24</v>
      </c>
      <c r="B2" s="34" t="s">
        <v>25</v>
      </c>
      <c r="C2" s="376"/>
      <c r="D2" s="377"/>
      <c r="E2" s="377"/>
      <c r="F2" s="377"/>
      <c r="G2" s="377"/>
      <c r="H2" s="378"/>
      <c r="I2" s="371"/>
      <c r="J2" s="372"/>
    </row>
    <row r="3" spans="1:11">
      <c r="A3" s="375"/>
      <c r="B3" s="34" t="s">
        <v>26</v>
      </c>
      <c r="C3" s="376" t="s">
        <v>27</v>
      </c>
      <c r="D3" s="377"/>
      <c r="E3" s="377"/>
      <c r="F3" s="377"/>
      <c r="G3" s="377"/>
      <c r="H3" s="378"/>
    </row>
    <row r="4" spans="1:11" ht="22.5">
      <c r="A4" s="375"/>
      <c r="B4" s="34" t="s">
        <v>28</v>
      </c>
      <c r="C4" s="376"/>
      <c r="D4" s="377"/>
      <c r="E4" s="377"/>
      <c r="F4" s="377"/>
      <c r="G4" s="377"/>
      <c r="H4" s="378"/>
    </row>
    <row r="5" spans="1:11" ht="33.75">
      <c r="A5" s="375"/>
      <c r="B5" s="34" t="s">
        <v>29</v>
      </c>
      <c r="C5" s="376"/>
      <c r="D5" s="377"/>
      <c r="E5" s="377"/>
      <c r="F5" s="377"/>
      <c r="G5" s="377"/>
      <c r="H5" s="378"/>
      <c r="I5" s="40"/>
      <c r="J5" s="40"/>
      <c r="K5" s="40"/>
    </row>
    <row r="6" spans="1:11" ht="22.5">
      <c r="A6" s="375" t="s">
        <v>30</v>
      </c>
      <c r="B6" s="379" t="s">
        <v>31</v>
      </c>
      <c r="C6" s="123" t="s">
        <v>32</v>
      </c>
      <c r="D6" s="35" t="s">
        <v>33</v>
      </c>
      <c r="E6" s="36" t="s">
        <v>40</v>
      </c>
      <c r="F6" s="123" t="s">
        <v>167</v>
      </c>
      <c r="G6" s="36" t="s">
        <v>34</v>
      </c>
      <c r="H6" s="36" t="s">
        <v>35</v>
      </c>
      <c r="I6" s="40">
        <f>SUM(I8:I26)</f>
        <v>1</v>
      </c>
      <c r="J6" s="40">
        <f>SUM(J8:J26)</f>
        <v>3</v>
      </c>
      <c r="K6" s="40">
        <f>SUM(K8:K26)</f>
        <v>2</v>
      </c>
    </row>
    <row r="7" spans="1:11">
      <c r="A7" s="375"/>
      <c r="B7" s="379"/>
      <c r="C7" s="380" t="s">
        <v>36</v>
      </c>
      <c r="D7" s="381"/>
      <c r="E7" s="381"/>
      <c r="F7" s="381"/>
      <c r="G7" s="381"/>
      <c r="H7" s="382"/>
      <c r="I7" s="277" t="s">
        <v>67</v>
      </c>
      <c r="J7" s="277" t="s">
        <v>68</v>
      </c>
      <c r="K7" s="277" t="s">
        <v>70</v>
      </c>
    </row>
    <row r="8" spans="1:11">
      <c r="A8" s="375"/>
      <c r="B8" s="379"/>
      <c r="C8" s="124" t="s">
        <v>185</v>
      </c>
      <c r="D8" s="37" t="s">
        <v>45</v>
      </c>
      <c r="E8" s="37" t="str">
        <f>IF(ISBLANK(D8),"",INDEX('liste pro (var)'!$A$2:$B$22,MATCH(D8,liste_profession,0),2))</f>
        <v>Profession médicale</v>
      </c>
      <c r="F8" s="37">
        <v>5000</v>
      </c>
      <c r="G8" s="37"/>
      <c r="H8" s="38"/>
      <c r="I8" s="40">
        <f>IF(E8="Profession paramédicale",1,0)</f>
        <v>0</v>
      </c>
      <c r="J8" s="40">
        <f>IF(E8="Profession médicale",1,0)</f>
        <v>1</v>
      </c>
      <c r="K8" s="40">
        <f>IF(D8="Médecin Généraliste",1,IF(D8="Médecin Spécialiste",1,0))</f>
        <v>0</v>
      </c>
    </row>
    <row r="9" spans="1:11">
      <c r="A9" s="375"/>
      <c r="B9" s="379"/>
      <c r="C9" s="124" t="s">
        <v>185</v>
      </c>
      <c r="D9" s="37" t="s">
        <v>46</v>
      </c>
      <c r="E9" s="37" t="str">
        <f>IF(ISBLANK(D9),"",INDEX('liste pro (var)'!$A$2:$B$22,MATCH(D9,liste_profession,0),2))</f>
        <v>Profession médicale</v>
      </c>
      <c r="F9" s="37">
        <v>10000</v>
      </c>
      <c r="G9" s="37"/>
      <c r="H9" s="38"/>
      <c r="I9" s="40">
        <f t="shared" ref="I9:I26" si="0">IF(E9="Profession paramédicale",1,0)</f>
        <v>0</v>
      </c>
      <c r="J9" s="40">
        <f t="shared" ref="J9:J26" si="1">IF(E9="Profession médicale",1,0)</f>
        <v>1</v>
      </c>
      <c r="K9" s="40">
        <f t="shared" ref="K9:K26" si="2">IF(D9="Médecin Généraliste",1,IF(D9="Médecin Spécialiste",1,0))</f>
        <v>1</v>
      </c>
    </row>
    <row r="10" spans="1:11">
      <c r="A10" s="375"/>
      <c r="B10" s="379"/>
      <c r="C10" s="124" t="s">
        <v>185</v>
      </c>
      <c r="D10" s="37" t="s">
        <v>47</v>
      </c>
      <c r="E10" s="37" t="str">
        <f>IF(ISBLANK(D10),"",INDEX('liste pro (var)'!$A$2:$B$22,MATCH(D10,liste_profession,0),2))</f>
        <v>Profession médicale</v>
      </c>
      <c r="F10" s="37">
        <v>10000</v>
      </c>
      <c r="G10" s="37"/>
      <c r="H10" s="38"/>
      <c r="I10" s="40">
        <f t="shared" si="0"/>
        <v>0</v>
      </c>
      <c r="J10" s="40">
        <f t="shared" si="1"/>
        <v>1</v>
      </c>
      <c r="K10" s="40">
        <f t="shared" si="2"/>
        <v>1</v>
      </c>
    </row>
    <row r="11" spans="1:11">
      <c r="A11" s="375"/>
      <c r="B11" s="379"/>
      <c r="C11" s="124" t="s">
        <v>185</v>
      </c>
      <c r="D11" s="37" t="s">
        <v>49</v>
      </c>
      <c r="E11" s="37" t="str">
        <f>IF(ISBLANK(D11),"",INDEX('liste pro (var)'!$A$2:$B$22,MATCH(D11,liste_profession,0),2))</f>
        <v>Profession paramédicale</v>
      </c>
      <c r="F11" s="37">
        <v>15000</v>
      </c>
      <c r="G11" s="37"/>
      <c r="H11" s="38"/>
      <c r="I11" s="40">
        <f t="shared" si="0"/>
        <v>1</v>
      </c>
      <c r="J11" s="40">
        <f t="shared" si="1"/>
        <v>0</v>
      </c>
      <c r="K11" s="40">
        <f t="shared" si="2"/>
        <v>0</v>
      </c>
    </row>
    <row r="12" spans="1:11">
      <c r="A12" s="375"/>
      <c r="B12" s="379"/>
      <c r="C12" s="124"/>
      <c r="D12" s="37"/>
      <c r="E12" s="37" t="str">
        <f>IF(ISBLANK(D12),"",INDEX('liste pro (var)'!$A$2:$B$22,MATCH(D12,liste_profession,0),2))</f>
        <v/>
      </c>
      <c r="F12" s="37"/>
      <c r="G12" s="37"/>
      <c r="H12" s="38"/>
      <c r="I12" s="40">
        <f t="shared" si="0"/>
        <v>0</v>
      </c>
      <c r="J12" s="40">
        <f t="shared" si="1"/>
        <v>0</v>
      </c>
      <c r="K12" s="40">
        <f t="shared" si="2"/>
        <v>0</v>
      </c>
    </row>
    <row r="13" spans="1:11">
      <c r="A13" s="375"/>
      <c r="B13" s="379"/>
      <c r="C13" s="124"/>
      <c r="D13" s="37"/>
      <c r="E13" s="37" t="str">
        <f>IF(ISBLANK(D13),"",INDEX('liste pro (var)'!$A$2:$B$22,MATCH(D13,liste_profession,0),2))</f>
        <v/>
      </c>
      <c r="F13" s="37"/>
      <c r="G13" s="37"/>
      <c r="H13" s="38"/>
      <c r="I13" s="40">
        <f t="shared" si="0"/>
        <v>0</v>
      </c>
      <c r="J13" s="40">
        <f t="shared" si="1"/>
        <v>0</v>
      </c>
      <c r="K13" s="40">
        <f t="shared" si="2"/>
        <v>0</v>
      </c>
    </row>
    <row r="14" spans="1:11">
      <c r="A14" s="375"/>
      <c r="B14" s="379"/>
      <c r="C14" s="124"/>
      <c r="D14" s="37"/>
      <c r="E14" s="37" t="str">
        <f>IF(ISBLANK(D14),"",INDEX('liste pro (var)'!$A$2:$B$22,MATCH(D14,liste_profession,0),2))</f>
        <v/>
      </c>
      <c r="F14" s="37"/>
      <c r="G14" s="37"/>
      <c r="H14" s="38"/>
      <c r="I14" s="40">
        <f t="shared" si="0"/>
        <v>0</v>
      </c>
      <c r="J14" s="40">
        <f t="shared" si="1"/>
        <v>0</v>
      </c>
      <c r="K14" s="40">
        <f t="shared" si="2"/>
        <v>0</v>
      </c>
    </row>
    <row r="15" spans="1:11">
      <c r="A15" s="375"/>
      <c r="B15" s="379"/>
      <c r="C15" s="124"/>
      <c r="D15" s="37"/>
      <c r="E15" s="37" t="str">
        <f>IF(ISBLANK(D15),"",INDEX('liste pro (var)'!$A$2:$B$22,MATCH(D15,liste_profession,0),2))</f>
        <v/>
      </c>
      <c r="F15" s="37"/>
      <c r="G15" s="37"/>
      <c r="H15" s="38"/>
      <c r="I15" s="40">
        <f t="shared" si="0"/>
        <v>0</v>
      </c>
      <c r="J15" s="40">
        <f t="shared" si="1"/>
        <v>0</v>
      </c>
      <c r="K15" s="40">
        <f t="shared" si="2"/>
        <v>0</v>
      </c>
    </row>
    <row r="16" spans="1:11">
      <c r="A16" s="375"/>
      <c r="B16" s="379"/>
      <c r="C16" s="124"/>
      <c r="D16" s="37"/>
      <c r="E16" s="37" t="str">
        <f>IF(ISBLANK(D16),"",INDEX('liste pro (var)'!$A$2:$B$22,MATCH(D16,liste_profession,0),2))</f>
        <v/>
      </c>
      <c r="F16" s="37"/>
      <c r="G16" s="37"/>
      <c r="H16" s="38"/>
      <c r="I16" s="40">
        <f t="shared" si="0"/>
        <v>0</v>
      </c>
      <c r="J16" s="40">
        <f t="shared" si="1"/>
        <v>0</v>
      </c>
      <c r="K16" s="40">
        <f t="shared" si="2"/>
        <v>0</v>
      </c>
    </row>
    <row r="17" spans="1:11">
      <c r="A17" s="375"/>
      <c r="B17" s="379"/>
      <c r="C17" s="124"/>
      <c r="D17" s="37"/>
      <c r="E17" s="37" t="str">
        <f>IF(ISBLANK(D17),"",INDEX('liste pro (var)'!$A$2:$B$22,MATCH(D17,liste_profession,0),2))</f>
        <v/>
      </c>
      <c r="F17" s="37"/>
      <c r="G17" s="37"/>
      <c r="H17" s="38"/>
      <c r="I17" s="40">
        <f t="shared" si="0"/>
        <v>0</v>
      </c>
      <c r="J17" s="40">
        <f t="shared" si="1"/>
        <v>0</v>
      </c>
      <c r="K17" s="40">
        <f t="shared" si="2"/>
        <v>0</v>
      </c>
    </row>
    <row r="18" spans="1:11">
      <c r="A18" s="375"/>
      <c r="B18" s="379"/>
      <c r="C18" s="124"/>
      <c r="D18" s="37"/>
      <c r="E18" s="37" t="str">
        <f>IF(ISBLANK(D18),"",INDEX('liste pro (var)'!$A$2:$B$22,MATCH(D18,liste_profession,0),2))</f>
        <v/>
      </c>
      <c r="F18" s="37"/>
      <c r="G18" s="37"/>
      <c r="H18" s="38"/>
      <c r="I18" s="40">
        <f t="shared" si="0"/>
        <v>0</v>
      </c>
      <c r="J18" s="40">
        <f t="shared" si="1"/>
        <v>0</v>
      </c>
      <c r="K18" s="40">
        <f t="shared" si="2"/>
        <v>0</v>
      </c>
    </row>
    <row r="19" spans="1:11">
      <c r="A19" s="375"/>
      <c r="B19" s="379"/>
      <c r="C19" s="122"/>
      <c r="D19" s="37"/>
      <c r="E19" s="37" t="str">
        <f>IF(ISBLANK(D19),"",INDEX('liste pro (var)'!$A$2:$B$22,MATCH(D19,liste_profession,0),2))</f>
        <v/>
      </c>
      <c r="F19" s="37"/>
      <c r="G19" s="37"/>
      <c r="H19" s="38"/>
      <c r="I19" s="40">
        <f t="shared" si="0"/>
        <v>0</v>
      </c>
      <c r="J19" s="40">
        <f t="shared" si="1"/>
        <v>0</v>
      </c>
      <c r="K19" s="40">
        <f t="shared" si="2"/>
        <v>0</v>
      </c>
    </row>
    <row r="20" spans="1:11">
      <c r="A20" s="375"/>
      <c r="B20" s="379"/>
      <c r="C20" s="122"/>
      <c r="D20" s="37"/>
      <c r="E20" s="37" t="str">
        <f>IF(ISBLANK(D20),"",INDEX('liste pro (var)'!$A$2:$B$22,MATCH(D20,liste_profession,0),2))</f>
        <v/>
      </c>
      <c r="F20" s="37"/>
      <c r="G20" s="37"/>
      <c r="H20" s="38"/>
      <c r="I20" s="40">
        <f t="shared" si="0"/>
        <v>0</v>
      </c>
      <c r="J20" s="40">
        <f t="shared" si="1"/>
        <v>0</v>
      </c>
      <c r="K20" s="40">
        <f t="shared" si="2"/>
        <v>0</v>
      </c>
    </row>
    <row r="21" spans="1:11">
      <c r="A21" s="375"/>
      <c r="B21" s="379"/>
      <c r="C21" s="122"/>
      <c r="D21" s="37"/>
      <c r="E21" s="37" t="str">
        <f>IF(ISBLANK(D21),"",INDEX('liste pro (var)'!$A$2:$B$22,MATCH(D21,liste_profession,0),2))</f>
        <v/>
      </c>
      <c r="F21" s="37"/>
      <c r="G21" s="37"/>
      <c r="H21" s="38"/>
      <c r="I21" s="40">
        <f t="shared" si="0"/>
        <v>0</v>
      </c>
      <c r="J21" s="40">
        <f t="shared" si="1"/>
        <v>0</v>
      </c>
      <c r="K21" s="40">
        <f t="shared" si="2"/>
        <v>0</v>
      </c>
    </row>
    <row r="22" spans="1:11">
      <c r="A22" s="375"/>
      <c r="B22" s="379"/>
      <c r="C22" s="122"/>
      <c r="D22" s="37"/>
      <c r="E22" s="37" t="str">
        <f>IF(ISBLANK(D22),"",INDEX('liste pro (var)'!$A$2:$B$22,MATCH(D22,liste_profession,0),2))</f>
        <v/>
      </c>
      <c r="F22" s="37"/>
      <c r="G22" s="37"/>
      <c r="H22" s="38"/>
      <c r="I22" s="40">
        <f t="shared" si="0"/>
        <v>0</v>
      </c>
      <c r="J22" s="40">
        <f t="shared" si="1"/>
        <v>0</v>
      </c>
      <c r="K22" s="40">
        <f t="shared" si="2"/>
        <v>0</v>
      </c>
    </row>
    <row r="23" spans="1:11">
      <c r="A23" s="375"/>
      <c r="B23" s="379"/>
      <c r="C23" s="122"/>
      <c r="D23" s="37"/>
      <c r="E23" s="37" t="str">
        <f>IF(ISBLANK(D23),"",INDEX('liste pro (var)'!$A$2:$B$22,MATCH(D23,liste_profession,0),2))</f>
        <v/>
      </c>
      <c r="F23" s="37"/>
      <c r="G23" s="37"/>
      <c r="H23" s="38"/>
      <c r="I23" s="40">
        <f t="shared" si="0"/>
        <v>0</v>
      </c>
      <c r="J23" s="40">
        <f t="shared" si="1"/>
        <v>0</v>
      </c>
      <c r="K23" s="40">
        <f t="shared" si="2"/>
        <v>0</v>
      </c>
    </row>
    <row r="24" spans="1:11">
      <c r="A24" s="375"/>
      <c r="B24" s="379"/>
      <c r="C24" s="122"/>
      <c r="D24" s="37"/>
      <c r="E24" s="37" t="str">
        <f>IF(ISBLANK(D24),"",INDEX('liste pro (var)'!$A$2:$B$22,MATCH(D24,liste_profession,0),2))</f>
        <v/>
      </c>
      <c r="F24" s="37"/>
      <c r="G24" s="37"/>
      <c r="H24" s="38"/>
      <c r="I24" s="40">
        <f t="shared" si="0"/>
        <v>0</v>
      </c>
      <c r="J24" s="40">
        <f t="shared" si="1"/>
        <v>0</v>
      </c>
      <c r="K24" s="40">
        <f t="shared" si="2"/>
        <v>0</v>
      </c>
    </row>
    <row r="25" spans="1:11">
      <c r="A25" s="375"/>
      <c r="B25" s="379"/>
      <c r="C25" s="122"/>
      <c r="D25" s="37"/>
      <c r="E25" s="37" t="str">
        <f>IF(ISBLANK(D25),"",INDEX('liste pro (var)'!$A$2:$B$22,MATCH(D25,liste_profession,0),2))</f>
        <v/>
      </c>
      <c r="F25" s="37"/>
      <c r="G25" s="37"/>
      <c r="H25" s="38"/>
      <c r="I25" s="40">
        <f t="shared" si="0"/>
        <v>0</v>
      </c>
      <c r="J25" s="40">
        <f t="shared" si="1"/>
        <v>0</v>
      </c>
      <c r="K25" s="40">
        <f t="shared" si="2"/>
        <v>0</v>
      </c>
    </row>
    <row r="26" spans="1:11">
      <c r="A26" s="375"/>
      <c r="B26" s="379"/>
      <c r="C26" s="122"/>
      <c r="D26" s="37"/>
      <c r="E26" s="37" t="str">
        <f>IF(ISBLANK(D26),"",INDEX('liste pro (var)'!$A$2:$B$22,MATCH(D26,liste_profession,0),2))</f>
        <v/>
      </c>
      <c r="F26" s="37"/>
      <c r="G26" s="37"/>
      <c r="H26" s="38"/>
      <c r="I26" s="40">
        <f t="shared" si="0"/>
        <v>0</v>
      </c>
      <c r="J26" s="40">
        <f t="shared" si="1"/>
        <v>0</v>
      </c>
      <c r="K26" s="40">
        <f t="shared" si="2"/>
        <v>0</v>
      </c>
    </row>
    <row r="27" spans="1:11" ht="15" customHeight="1">
      <c r="A27" s="375"/>
      <c r="B27" s="379"/>
      <c r="C27" s="380" t="s">
        <v>38</v>
      </c>
      <c r="D27" s="381"/>
      <c r="E27" s="381"/>
      <c r="F27" s="381"/>
      <c r="G27" s="381"/>
      <c r="H27" s="382"/>
      <c r="I27" s="40"/>
      <c r="J27" s="40"/>
      <c r="K27" s="40"/>
    </row>
    <row r="28" spans="1:11">
      <c r="A28" s="375"/>
      <c r="B28" s="379"/>
      <c r="C28" s="37"/>
      <c r="D28" s="37"/>
      <c r="E28" s="37" t="str">
        <f>IF(ISBLANK(D28),"",INDEX('liste pro (var)'!$A$2:$B$22,MATCH(D28,liste_profession,0),2))</f>
        <v/>
      </c>
      <c r="F28" s="37"/>
      <c r="G28" s="37"/>
      <c r="H28" s="38"/>
      <c r="I28" s="40"/>
      <c r="J28" s="40"/>
      <c r="K28" s="40"/>
    </row>
    <row r="29" spans="1:11">
      <c r="A29" s="375"/>
      <c r="B29" s="379"/>
      <c r="C29" s="37"/>
      <c r="D29" s="37"/>
      <c r="E29" s="37" t="str">
        <f>IF(ISBLANK(D29),"",INDEX('liste pro (var)'!$A$2:$B$22,MATCH(D29,liste_profession,0),2))</f>
        <v/>
      </c>
      <c r="F29" s="37"/>
      <c r="G29" s="37"/>
      <c r="H29" s="38"/>
      <c r="I29" s="40"/>
      <c r="J29" s="40"/>
      <c r="K29" s="40"/>
    </row>
    <row r="30" spans="1:11">
      <c r="A30" s="375"/>
      <c r="B30" s="379"/>
      <c r="C30" s="37"/>
      <c r="D30" s="37"/>
      <c r="E30" s="37" t="str">
        <f>IF(ISBLANK(D30),"",INDEX('liste pro (var)'!$A$2:$B$22,MATCH(D30,liste_profession,0),2))</f>
        <v/>
      </c>
      <c r="F30" s="37"/>
      <c r="G30" s="37"/>
      <c r="H30" s="38"/>
      <c r="I30" s="40"/>
      <c r="J30" s="40"/>
      <c r="K30" s="40"/>
    </row>
    <row r="31" spans="1:11">
      <c r="A31" s="375"/>
      <c r="B31" s="379"/>
      <c r="C31" s="37"/>
      <c r="D31" s="37"/>
      <c r="E31" s="37" t="str">
        <f>IF(ISBLANK(D31),"",INDEX('liste pro (var)'!$A$2:$B$22,MATCH(D31,liste_profession,0),2))</f>
        <v/>
      </c>
      <c r="F31" s="37"/>
      <c r="G31" s="37"/>
      <c r="H31" s="38"/>
      <c r="I31" s="40"/>
      <c r="J31" s="40"/>
      <c r="K31" s="40"/>
    </row>
    <row r="32" spans="1:11">
      <c r="A32" s="375"/>
      <c r="B32" s="379"/>
      <c r="C32" s="37"/>
      <c r="D32" s="37"/>
      <c r="E32" s="37" t="str">
        <f>IF(ISBLANK(D32),"",INDEX('liste pro (var)'!$A$2:$B$22,MATCH(D32,liste_profession,0),2))</f>
        <v/>
      </c>
      <c r="F32" s="37"/>
      <c r="G32" s="37"/>
      <c r="H32" s="38"/>
      <c r="I32" s="40"/>
      <c r="J32" s="40"/>
      <c r="K32" s="40"/>
    </row>
    <row r="33" spans="1:11">
      <c r="A33" s="375"/>
      <c r="B33" s="379"/>
      <c r="C33" s="37"/>
      <c r="D33" s="37"/>
      <c r="E33" s="37" t="str">
        <f>IF(ISBLANK(D33),"",INDEX('liste pro (var)'!$A$2:$B$22,MATCH(D33,liste_profession,0),2))</f>
        <v/>
      </c>
      <c r="F33" s="37"/>
      <c r="G33" s="37"/>
      <c r="H33" s="38"/>
      <c r="I33" s="40"/>
      <c r="J33" s="40"/>
      <c r="K33" s="40"/>
    </row>
    <row r="34" spans="1:11">
      <c r="A34" s="375"/>
      <c r="B34" s="379"/>
      <c r="C34" s="37"/>
      <c r="D34" s="37"/>
      <c r="E34" s="37" t="str">
        <f>IF(ISBLANK(D34),"",INDEX('liste pro (var)'!$A$2:$B$22,MATCH(D34,liste_profession,0),2))</f>
        <v/>
      </c>
      <c r="F34" s="37"/>
      <c r="G34" s="37"/>
      <c r="H34" s="38"/>
      <c r="I34" s="40"/>
      <c r="J34" s="40"/>
      <c r="K34" s="40"/>
    </row>
    <row r="35" spans="1:11" ht="15" customHeight="1">
      <c r="A35" s="375"/>
      <c r="B35" s="379"/>
      <c r="C35" s="380" t="s">
        <v>39</v>
      </c>
      <c r="D35" s="381"/>
      <c r="E35" s="381"/>
      <c r="F35" s="381"/>
      <c r="G35" s="381"/>
      <c r="H35" s="382"/>
      <c r="I35" s="277" t="s">
        <v>69</v>
      </c>
      <c r="J35" s="40">
        <f>SUM(I36:I40)</f>
        <v>0</v>
      </c>
      <c r="K35" s="40"/>
    </row>
    <row r="36" spans="1:11">
      <c r="A36" s="375"/>
      <c r="B36" s="379"/>
      <c r="C36" s="39"/>
      <c r="D36" s="37"/>
      <c r="E36" s="37" t="str">
        <f>IF(ISBLANK(D36),"",INDEX('liste pro (var)'!$A$2:$B$22,MATCH(D36,liste_profession,0),2))</f>
        <v/>
      </c>
      <c r="F36" s="37"/>
      <c r="G36" s="37"/>
      <c r="H36" s="38"/>
      <c r="I36" s="40">
        <f>IF(ISBLANK(D36),0,1)</f>
        <v>0</v>
      </c>
      <c r="J36" s="40"/>
      <c r="K36" s="40"/>
    </row>
    <row r="37" spans="1:11">
      <c r="A37" s="375"/>
      <c r="B37" s="379"/>
      <c r="C37" s="39"/>
      <c r="D37" s="37"/>
      <c r="E37" s="37" t="str">
        <f>IF(ISBLANK(D37),"",INDEX('liste pro (var)'!$A$2:$B$22,MATCH(D37,liste_profession,0),2))</f>
        <v/>
      </c>
      <c r="F37" s="37"/>
      <c r="G37" s="37"/>
      <c r="H37" s="38"/>
      <c r="I37" s="40">
        <f t="shared" ref="I37:I40" si="3">IF(ISBLANK(D37),0,1)</f>
        <v>0</v>
      </c>
      <c r="J37" s="40"/>
      <c r="K37" s="40"/>
    </row>
    <row r="38" spans="1:11">
      <c r="A38" s="375"/>
      <c r="B38" s="379"/>
      <c r="C38" s="39"/>
      <c r="D38" s="37"/>
      <c r="E38" s="37" t="str">
        <f>IF(ISBLANK(D38),"",INDEX('liste pro (var)'!$A$2:$B$22,MATCH(D38,liste_profession,0),2))</f>
        <v/>
      </c>
      <c r="F38" s="37"/>
      <c r="G38" s="37"/>
      <c r="H38" s="38"/>
      <c r="I38" s="40">
        <f t="shared" si="3"/>
        <v>0</v>
      </c>
      <c r="J38" s="40"/>
      <c r="K38" s="40"/>
    </row>
    <row r="39" spans="1:11">
      <c r="A39" s="375"/>
      <c r="B39" s="379"/>
      <c r="C39" s="39"/>
      <c r="D39" s="37"/>
      <c r="E39" s="37" t="str">
        <f>IF(ISBLANK(D39),"",INDEX('liste pro (var)'!$A$2:$B$22,MATCH(D39,liste_profession,0),2))</f>
        <v/>
      </c>
      <c r="F39" s="37"/>
      <c r="G39" s="37"/>
      <c r="H39" s="38"/>
      <c r="I39" s="40">
        <f t="shared" si="3"/>
        <v>0</v>
      </c>
      <c r="J39" s="40"/>
      <c r="K39" s="40"/>
    </row>
    <row r="40" spans="1:11">
      <c r="A40" s="375"/>
      <c r="B40" s="379"/>
      <c r="C40" s="39"/>
      <c r="D40" s="37"/>
      <c r="E40" s="37" t="str">
        <f>IF(ISBLANK(D40),"",INDEX('liste pro (var)'!$A$2:$B$22,MATCH(D40,liste_profession,0),2))</f>
        <v/>
      </c>
      <c r="F40" s="37"/>
      <c r="G40" s="37"/>
      <c r="H40" s="38"/>
      <c r="I40" s="40">
        <f t="shared" si="3"/>
        <v>0</v>
      </c>
      <c r="J40" s="40"/>
      <c r="K40" s="40"/>
    </row>
    <row r="41" spans="1:11">
      <c r="A41" s="19"/>
      <c r="B41" s="19"/>
      <c r="C41" s="19"/>
      <c r="D41" s="19"/>
      <c r="E41" s="19"/>
      <c r="F41" s="19"/>
      <c r="G41" s="19"/>
      <c r="H41" s="19"/>
      <c r="I41" s="40"/>
      <c r="J41" s="40"/>
      <c r="K41" s="40"/>
    </row>
    <row r="42" spans="1:11">
      <c r="I42" s="40"/>
      <c r="J42" s="40"/>
      <c r="K42" s="40"/>
    </row>
  </sheetData>
  <mergeCells count="12">
    <mergeCell ref="A6:A40"/>
    <mergeCell ref="B6:B40"/>
    <mergeCell ref="C7:H7"/>
    <mergeCell ref="C27:H27"/>
    <mergeCell ref="C35:H35"/>
    <mergeCell ref="I1:J2"/>
    <mergeCell ref="A1:H1"/>
    <mergeCell ref="A2:A5"/>
    <mergeCell ref="C2:H2"/>
    <mergeCell ref="C3:H3"/>
    <mergeCell ref="C4:H4"/>
    <mergeCell ref="C5:H5"/>
  </mergeCells>
  <dataValidations count="1">
    <dataValidation type="list" allowBlank="1" showInputMessage="1" showErrorMessage="1" sqref="D8:D26 D28:D34 D36:D40">
      <formula1>liste_profession</formula1>
    </dataValidation>
  </dataValidations>
  <hyperlinks>
    <hyperlink ref="I1:J2" location="'Sommaire général'!A1" display="Sommaire"/>
  </hyperlink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11" sqref="A11:A14"/>
    </sheetView>
  </sheetViews>
  <sheetFormatPr baseColWidth="10" defaultRowHeight="15"/>
  <cols>
    <col min="1" max="1" width="20.7109375" style="20" bestFit="1" customWidth="1"/>
    <col min="2" max="2" width="27.5703125" style="20" bestFit="1" customWidth="1"/>
    <col min="3" max="16384" width="11.42578125" style="20"/>
  </cols>
  <sheetData>
    <row r="1" spans="1:7">
      <c r="A1" s="30" t="s">
        <v>9</v>
      </c>
      <c r="B1" s="30" t="s">
        <v>16</v>
      </c>
      <c r="C1" s="30" t="s">
        <v>18</v>
      </c>
      <c r="D1" s="21"/>
      <c r="E1" s="22"/>
      <c r="F1" s="23"/>
      <c r="G1" s="23"/>
    </row>
    <row r="2" spans="1:7">
      <c r="A2" s="21" t="s">
        <v>10</v>
      </c>
      <c r="B2" s="21" t="s">
        <v>13</v>
      </c>
      <c r="C2" s="21" t="s">
        <v>19</v>
      </c>
      <c r="D2" s="21"/>
      <c r="E2" s="21"/>
      <c r="F2" s="21"/>
      <c r="G2" s="21"/>
    </row>
    <row r="3" spans="1:7">
      <c r="A3" s="21" t="s">
        <v>11</v>
      </c>
      <c r="B3" s="25" t="s">
        <v>15</v>
      </c>
      <c r="C3" s="21" t="s">
        <v>20</v>
      </c>
      <c r="D3" s="21"/>
      <c r="E3" s="24"/>
      <c r="F3" s="25"/>
      <c r="G3" s="21"/>
    </row>
    <row r="4" spans="1:7">
      <c r="A4" s="21"/>
      <c r="B4" s="26" t="s">
        <v>14</v>
      </c>
      <c r="C4" s="21"/>
      <c r="D4" s="21"/>
      <c r="E4" s="24"/>
      <c r="F4" s="26"/>
      <c r="G4" s="21"/>
    </row>
    <row r="5" spans="1:7">
      <c r="A5" s="21"/>
      <c r="B5" s="27"/>
      <c r="C5" s="21"/>
      <c r="D5" s="21"/>
      <c r="E5" s="24"/>
      <c r="F5" s="25"/>
      <c r="G5" s="21"/>
    </row>
    <row r="6" spans="1:7">
      <c r="A6" s="21"/>
      <c r="B6" s="28"/>
      <c r="C6" s="21"/>
      <c r="D6" s="21"/>
      <c r="E6" s="24"/>
      <c r="F6" s="25"/>
      <c r="G6" s="21"/>
    </row>
    <row r="7" spans="1:7">
      <c r="A7" s="21"/>
      <c r="B7" s="29"/>
      <c r="C7" s="21"/>
      <c r="D7" s="21"/>
      <c r="E7" s="24"/>
      <c r="F7" s="26"/>
      <c r="G7" s="21"/>
    </row>
    <row r="8" spans="1:7">
      <c r="A8" s="21"/>
      <c r="B8" s="21"/>
      <c r="C8" s="21"/>
      <c r="D8" s="21"/>
      <c r="E8" s="21"/>
      <c r="F8" s="21"/>
      <c r="G8" s="21"/>
    </row>
    <row r="9" spans="1:7">
      <c r="A9" s="21"/>
      <c r="B9" s="21"/>
      <c r="C9" s="21"/>
      <c r="D9" s="21"/>
      <c r="E9" s="21"/>
      <c r="F9" s="21"/>
      <c r="G9" s="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A11" sqref="A11:A14"/>
    </sheetView>
  </sheetViews>
  <sheetFormatPr baseColWidth="10" defaultRowHeight="15"/>
  <cols>
    <col min="1" max="1" width="22.42578125" bestFit="1" customWidth="1"/>
    <col min="2" max="2" width="23.140625" bestFit="1" customWidth="1"/>
    <col min="3" max="3" width="4.7109375" customWidth="1"/>
    <col min="4" max="4" width="19.7109375" bestFit="1" customWidth="1"/>
    <col min="5" max="5" width="6" customWidth="1"/>
    <col min="6" max="6" width="23.7109375" bestFit="1" customWidth="1"/>
  </cols>
  <sheetData>
    <row r="1" spans="1:6">
      <c r="A1" s="17" t="s">
        <v>41</v>
      </c>
      <c r="B1" s="17" t="s">
        <v>64</v>
      </c>
      <c r="C1" s="17"/>
      <c r="D1" s="17" t="s">
        <v>62</v>
      </c>
      <c r="E1" s="17"/>
      <c r="F1" s="17" t="s">
        <v>63</v>
      </c>
    </row>
    <row r="2" spans="1:6">
      <c r="A2" t="s">
        <v>49</v>
      </c>
      <c r="B2" t="s">
        <v>65</v>
      </c>
      <c r="D2" t="s">
        <v>45</v>
      </c>
      <c r="F2" t="s">
        <v>49</v>
      </c>
    </row>
    <row r="3" spans="1:6">
      <c r="A3" t="s">
        <v>50</v>
      </c>
      <c r="B3" t="s">
        <v>65</v>
      </c>
      <c r="D3" t="s">
        <v>43</v>
      </c>
      <c r="F3" t="s">
        <v>50</v>
      </c>
    </row>
    <row r="4" spans="1:6">
      <c r="A4" t="s">
        <v>50</v>
      </c>
      <c r="B4" t="s">
        <v>65</v>
      </c>
      <c r="D4" t="s">
        <v>46</v>
      </c>
      <c r="F4" t="s">
        <v>50</v>
      </c>
    </row>
    <row r="5" spans="1:6">
      <c r="A5" t="s">
        <v>56</v>
      </c>
      <c r="B5" t="s">
        <v>65</v>
      </c>
      <c r="D5" t="s">
        <v>47</v>
      </c>
      <c r="F5" t="s">
        <v>56</v>
      </c>
    </row>
    <row r="6" spans="1:6">
      <c r="A6" t="s">
        <v>48</v>
      </c>
      <c r="B6" t="s">
        <v>65</v>
      </c>
      <c r="D6" t="s">
        <v>44</v>
      </c>
      <c r="F6" t="s">
        <v>48</v>
      </c>
    </row>
    <row r="7" spans="1:6">
      <c r="A7" t="s">
        <v>45</v>
      </c>
      <c r="B7" t="s">
        <v>66</v>
      </c>
      <c r="D7" t="s">
        <v>42</v>
      </c>
      <c r="F7" t="s">
        <v>61</v>
      </c>
    </row>
    <row r="8" spans="1:6">
      <c r="A8" t="s">
        <v>43</v>
      </c>
      <c r="B8" t="s">
        <v>66</v>
      </c>
      <c r="F8" t="s">
        <v>51</v>
      </c>
    </row>
    <row r="9" spans="1:6">
      <c r="A9" t="s">
        <v>61</v>
      </c>
      <c r="B9" t="s">
        <v>65</v>
      </c>
      <c r="F9" t="s">
        <v>52</v>
      </c>
    </row>
    <row r="10" spans="1:6">
      <c r="A10" t="s">
        <v>51</v>
      </c>
      <c r="B10" t="s">
        <v>65</v>
      </c>
      <c r="F10" t="s">
        <v>59</v>
      </c>
    </row>
    <row r="11" spans="1:6">
      <c r="A11" t="s">
        <v>52</v>
      </c>
      <c r="B11" t="s">
        <v>65</v>
      </c>
      <c r="F11" t="s">
        <v>57</v>
      </c>
    </row>
    <row r="12" spans="1:6">
      <c r="A12" t="s">
        <v>59</v>
      </c>
      <c r="B12" t="s">
        <v>65</v>
      </c>
      <c r="F12" t="s">
        <v>54</v>
      </c>
    </row>
    <row r="13" spans="1:6">
      <c r="A13" t="s">
        <v>46</v>
      </c>
      <c r="B13" t="s">
        <v>66</v>
      </c>
      <c r="F13" t="s">
        <v>55</v>
      </c>
    </row>
    <row r="14" spans="1:6">
      <c r="A14" t="s">
        <v>47</v>
      </c>
      <c r="B14" t="s">
        <v>66</v>
      </c>
      <c r="F14" t="s">
        <v>53</v>
      </c>
    </row>
    <row r="15" spans="1:6">
      <c r="A15" t="s">
        <v>57</v>
      </c>
      <c r="B15" t="s">
        <v>65</v>
      </c>
      <c r="F15" t="s">
        <v>58</v>
      </c>
    </row>
    <row r="16" spans="1:6">
      <c r="A16" t="s">
        <v>54</v>
      </c>
      <c r="B16" t="s">
        <v>65</v>
      </c>
      <c r="F16" t="s">
        <v>60</v>
      </c>
    </row>
    <row r="17" spans="1:2">
      <c r="A17" t="s">
        <v>55</v>
      </c>
      <c r="B17" t="s">
        <v>65</v>
      </c>
    </row>
    <row r="18" spans="1:2">
      <c r="A18" t="s">
        <v>53</v>
      </c>
      <c r="B18" t="s">
        <v>65</v>
      </c>
    </row>
    <row r="19" spans="1:2">
      <c r="A19" t="s">
        <v>44</v>
      </c>
      <c r="B19" t="s">
        <v>66</v>
      </c>
    </row>
    <row r="20" spans="1:2">
      <c r="A20" t="s">
        <v>58</v>
      </c>
      <c r="B20" t="s">
        <v>65</v>
      </c>
    </row>
    <row r="21" spans="1:2">
      <c r="A21" t="s">
        <v>42</v>
      </c>
      <c r="B21" t="s">
        <v>66</v>
      </c>
    </row>
    <row r="22" spans="1:2">
      <c r="A22" t="s">
        <v>60</v>
      </c>
      <c r="B22" t="s">
        <v>65</v>
      </c>
    </row>
    <row r="26" spans="1:2" ht="15" customHeight="1"/>
  </sheetData>
  <sortState ref="F2:F16">
    <sortCondition ref="F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topLeftCell="A31" workbookViewId="0">
      <selection activeCell="C6" sqref="C6"/>
    </sheetView>
  </sheetViews>
  <sheetFormatPr baseColWidth="10" defaultRowHeight="15"/>
  <cols>
    <col min="1" max="1" width="7.7109375" customWidth="1"/>
    <col min="2" max="2" width="24.140625" customWidth="1"/>
    <col min="3" max="3" width="98.5703125" customWidth="1"/>
    <col min="4" max="4" width="17.42578125" customWidth="1"/>
    <col min="5" max="5" width="21.140625" bestFit="1" customWidth="1"/>
    <col min="6" max="6" width="18.140625" customWidth="1"/>
    <col min="7" max="7" width="13.140625" bestFit="1" customWidth="1"/>
    <col min="8" max="8" width="15.28515625" customWidth="1"/>
    <col min="9" max="9" width="12.28515625" customWidth="1"/>
    <col min="10" max="11" width="11.28515625" customWidth="1"/>
  </cols>
  <sheetData>
    <row r="1" spans="1:13">
      <c r="G1" s="369" t="s">
        <v>131</v>
      </c>
      <c r="H1" s="370"/>
    </row>
    <row r="2" spans="1:13" ht="34.15" customHeight="1" thickBot="1">
      <c r="C2" s="42" t="s">
        <v>73</v>
      </c>
      <c r="E2" s="43"/>
      <c r="G2" s="371"/>
      <c r="H2" s="372"/>
    </row>
    <row r="3" spans="1:13" ht="25.15" customHeight="1" thickBot="1"/>
    <row r="4" spans="1:13" ht="33.6" customHeight="1" thickTop="1" thickBot="1">
      <c r="C4" s="44" t="s">
        <v>242</v>
      </c>
      <c r="D4" s="45" t="s">
        <v>74</v>
      </c>
      <c r="E4" s="45" t="s">
        <v>75</v>
      </c>
      <c r="H4" s="46"/>
    </row>
    <row r="5" spans="1:13" ht="37.15" customHeight="1" thickTop="1" thickBot="1">
      <c r="C5" s="47">
        <v>9500</v>
      </c>
      <c r="D5" s="48">
        <v>7.5</v>
      </c>
      <c r="E5" s="48">
        <v>0.4</v>
      </c>
    </row>
    <row r="6" spans="1:13" ht="43.15" customHeight="1" thickTop="1" thickBot="1">
      <c r="D6" s="49" t="s">
        <v>76</v>
      </c>
      <c r="E6" s="49" t="s">
        <v>76</v>
      </c>
    </row>
    <row r="7" spans="1:13" ht="25.15" customHeight="1" thickTop="1" thickBot="1"/>
    <row r="8" spans="1:13" s="50" customFormat="1" ht="48" customHeight="1" thickBot="1">
      <c r="B8" s="51"/>
      <c r="C8" s="52" t="s">
        <v>77</v>
      </c>
      <c r="D8" s="53" t="s">
        <v>122</v>
      </c>
      <c r="E8" s="53" t="s">
        <v>123</v>
      </c>
      <c r="F8" s="53" t="s">
        <v>79</v>
      </c>
    </row>
    <row r="9" spans="1:13" ht="16.5" thickBot="1">
      <c r="B9" s="54" t="s">
        <v>80</v>
      </c>
      <c r="C9" s="55"/>
      <c r="D9" s="105"/>
      <c r="E9" s="108"/>
      <c r="F9" s="106"/>
    </row>
    <row r="10" spans="1:13" ht="64.5" customHeight="1">
      <c r="A10" s="386" t="s">
        <v>81</v>
      </c>
      <c r="B10" s="56" t="s">
        <v>82</v>
      </c>
      <c r="C10" s="57" t="s">
        <v>83</v>
      </c>
      <c r="D10" s="102">
        <v>800</v>
      </c>
      <c r="E10" s="109" t="s">
        <v>125</v>
      </c>
      <c r="F10" s="103">
        <f>IF(E10="Oui",D10,0)</f>
        <v>800</v>
      </c>
      <c r="G10" s="368">
        <f>IF(E10="Oui",1,0)</f>
        <v>1</v>
      </c>
      <c r="H10" s="368"/>
    </row>
    <row r="11" spans="1:13" ht="43.9" customHeight="1">
      <c r="A11" s="387"/>
      <c r="B11" s="56" t="s">
        <v>84</v>
      </c>
      <c r="C11" s="57" t="s">
        <v>85</v>
      </c>
      <c r="D11" s="102">
        <v>700</v>
      </c>
      <c r="E11" s="110" t="s">
        <v>125</v>
      </c>
      <c r="F11" s="103">
        <f t="shared" ref="F11:F12" si="0">IF(E11="Oui",D11,0)</f>
        <v>700</v>
      </c>
      <c r="G11" s="368">
        <f t="shared" ref="G11:G12" si="1">IF(E11="Oui",1,0)</f>
        <v>1</v>
      </c>
      <c r="H11" s="368"/>
    </row>
    <row r="12" spans="1:13" ht="117" customHeight="1" thickBot="1">
      <c r="A12" s="388"/>
      <c r="B12" s="60" t="s">
        <v>86</v>
      </c>
      <c r="C12" s="61" t="s">
        <v>87</v>
      </c>
      <c r="D12" s="104">
        <v>500</v>
      </c>
      <c r="E12" s="111" t="s">
        <v>125</v>
      </c>
      <c r="F12" s="103">
        <f t="shared" si="0"/>
        <v>500</v>
      </c>
      <c r="G12" s="368">
        <f t="shared" si="1"/>
        <v>1</v>
      </c>
      <c r="H12" s="368">
        <f>SUM(G10:G12)</f>
        <v>3</v>
      </c>
    </row>
    <row r="13" spans="1:13" ht="15.75">
      <c r="B13" s="63" t="s">
        <v>88</v>
      </c>
      <c r="C13" s="64"/>
      <c r="D13" s="65">
        <f>SUM(D10:D12)</f>
        <v>2000</v>
      </c>
      <c r="E13" s="107"/>
      <c r="F13" s="66">
        <f>SUM(F10:F12)</f>
        <v>2000</v>
      </c>
      <c r="I13" s="40"/>
      <c r="J13" s="40" t="s">
        <v>172</v>
      </c>
      <c r="K13" s="40" t="s">
        <v>173</v>
      </c>
      <c r="L13" s="40" t="s">
        <v>164</v>
      </c>
      <c r="M13" s="40" t="s">
        <v>174</v>
      </c>
    </row>
    <row r="14" spans="1:13" ht="16.5" thickBot="1">
      <c r="B14" s="67"/>
      <c r="C14" s="20"/>
      <c r="D14" s="68"/>
      <c r="E14" s="69"/>
      <c r="F14" s="20"/>
      <c r="G14" s="68"/>
      <c r="H14" s="69"/>
      <c r="I14" s="195">
        <v>1350</v>
      </c>
      <c r="J14" s="40">
        <v>0</v>
      </c>
      <c r="K14" s="40">
        <v>8000</v>
      </c>
      <c r="L14" s="40">
        <f>IF(E17&lt;=K14,E17/4000,K14/4000)</f>
        <v>2</v>
      </c>
      <c r="M14" s="40">
        <f>+I14*L14</f>
        <v>2700</v>
      </c>
    </row>
    <row r="15" spans="1:13" ht="48" customHeight="1" thickBot="1">
      <c r="B15" s="51"/>
      <c r="C15" s="52" t="s">
        <v>89</v>
      </c>
      <c r="D15" s="53" t="s">
        <v>90</v>
      </c>
      <c r="E15" s="53" t="s">
        <v>128</v>
      </c>
      <c r="F15" s="53" t="s">
        <v>129</v>
      </c>
      <c r="G15" s="53" t="s">
        <v>91</v>
      </c>
      <c r="H15" s="69"/>
      <c r="I15" s="195">
        <v>1000</v>
      </c>
      <c r="J15" s="40"/>
      <c r="K15" s="40"/>
      <c r="L15" s="40">
        <f>IF(E17&lt;=8000,0,(E17-8000)/4000)</f>
        <v>0.375</v>
      </c>
      <c r="M15" s="40">
        <f>+I15*L15</f>
        <v>375</v>
      </c>
    </row>
    <row r="16" spans="1:13" ht="16.5" thickBot="1">
      <c r="B16" s="71" t="s">
        <v>92</v>
      </c>
      <c r="C16" s="72"/>
      <c r="D16" s="55"/>
      <c r="E16" s="55"/>
      <c r="F16" s="55"/>
      <c r="G16" s="55"/>
      <c r="H16" s="69"/>
      <c r="I16" s="70"/>
    </row>
    <row r="17" spans="1:9" ht="94.15" customHeight="1">
      <c r="A17" s="386" t="s">
        <v>93</v>
      </c>
      <c r="B17" s="73" t="s">
        <v>84</v>
      </c>
      <c r="C17" s="74" t="s">
        <v>94</v>
      </c>
      <c r="D17" s="75">
        <v>1000</v>
      </c>
      <c r="E17" s="75">
        <f>+C5</f>
        <v>9500</v>
      </c>
      <c r="F17" s="75" t="s">
        <v>127</v>
      </c>
      <c r="G17" s="59">
        <f>+M14+M15</f>
        <v>3075</v>
      </c>
      <c r="H17" s="196"/>
      <c r="I17" s="70"/>
    </row>
    <row r="18" spans="1:9" ht="111" customHeight="1" thickBot="1">
      <c r="A18" s="388"/>
      <c r="B18" s="60" t="s">
        <v>86</v>
      </c>
      <c r="C18" s="61" t="s">
        <v>87</v>
      </c>
      <c r="D18" s="62" t="s">
        <v>127</v>
      </c>
      <c r="E18" s="62" t="s">
        <v>127</v>
      </c>
      <c r="F18" s="62">
        <v>9</v>
      </c>
      <c r="G18" s="59">
        <f>IF(F18&lt;=16,F18*200,(16*200)+(F18-16)*150)</f>
        <v>1800</v>
      </c>
      <c r="H18" s="69"/>
      <c r="I18" s="70"/>
    </row>
    <row r="19" spans="1:9" ht="22.9" customHeight="1">
      <c r="A19" s="76"/>
      <c r="B19" s="77" t="s">
        <v>95</v>
      </c>
      <c r="C19" s="78"/>
      <c r="D19" s="79">
        <f>SUM(D17:D18)</f>
        <v>1000</v>
      </c>
      <c r="E19" s="79"/>
      <c r="F19" s="79"/>
      <c r="G19" s="80">
        <f>SUM(G17:G18)</f>
        <v>4875</v>
      </c>
      <c r="H19" s="69">
        <f>IF(G19&lt;1950,1,0)</f>
        <v>0</v>
      </c>
      <c r="I19" s="70"/>
    </row>
    <row r="20" spans="1:9" ht="15.75" thickBot="1">
      <c r="A20" s="76"/>
    </row>
    <row r="21" spans="1:9" ht="25.9" customHeight="1" thickBot="1">
      <c r="A21" s="76"/>
      <c r="C21" s="81" t="s">
        <v>96</v>
      </c>
    </row>
    <row r="22" spans="1:9" ht="15.75" thickBot="1">
      <c r="A22" s="76"/>
      <c r="C22" s="366" t="str">
        <f>IF(H12&lt;&gt;3,"La structure ne remplit par les critères socles et ne peut donc pas bénéficier des NMR",IF(H19=1,"La structure ne remplit par les critères socles et ne peut donc pas bénéficier des NMR",""))</f>
        <v/>
      </c>
    </row>
    <row r="23" spans="1:9" s="76" customFormat="1" ht="27" customHeight="1" thickTop="1" thickBot="1">
      <c r="B23" s="20"/>
      <c r="C23" s="82">
        <f>+G19+F13</f>
        <v>6875</v>
      </c>
      <c r="D23" s="20"/>
      <c r="E23" s="20"/>
      <c r="F23" s="20"/>
      <c r="G23" s="20"/>
    </row>
    <row r="24" spans="1:9" s="76" customFormat="1" ht="15.75" thickTop="1">
      <c r="B24" s="20"/>
      <c r="C24" s="20"/>
      <c r="D24" s="20"/>
      <c r="E24" s="20"/>
      <c r="F24" s="20"/>
      <c r="G24" s="20"/>
    </row>
    <row r="25" spans="1:9" ht="15.75" thickBot="1">
      <c r="B25" s="20"/>
      <c r="C25" s="20"/>
      <c r="D25" s="20"/>
      <c r="E25" s="20"/>
      <c r="F25" s="20"/>
      <c r="G25" s="20"/>
    </row>
    <row r="26" spans="1:9" ht="30.75" thickBot="1">
      <c r="B26" s="51"/>
      <c r="C26" s="52" t="s">
        <v>97</v>
      </c>
      <c r="D26" s="53" t="s">
        <v>78</v>
      </c>
      <c r="E26" s="53" t="s">
        <v>123</v>
      </c>
      <c r="F26" s="53" t="s">
        <v>98</v>
      </c>
    </row>
    <row r="27" spans="1:9" ht="16.5" thickBot="1">
      <c r="B27" s="83" t="s">
        <v>99</v>
      </c>
      <c r="C27" s="84"/>
      <c r="D27" s="85"/>
      <c r="E27" s="85"/>
      <c r="F27" s="85"/>
    </row>
    <row r="28" spans="1:9" ht="46.15" customHeight="1">
      <c r="A28" s="389" t="s">
        <v>100</v>
      </c>
      <c r="B28" s="56" t="s">
        <v>101</v>
      </c>
      <c r="C28" s="57" t="s">
        <v>102</v>
      </c>
      <c r="D28" s="58">
        <v>250</v>
      </c>
      <c r="E28" s="113" t="s">
        <v>125</v>
      </c>
      <c r="F28" s="59">
        <f>IF(E28="Oui",D28,0)</f>
        <v>250</v>
      </c>
    </row>
    <row r="29" spans="1:9" ht="46.15" customHeight="1">
      <c r="A29" s="390"/>
      <c r="B29" s="56" t="s">
        <v>103</v>
      </c>
      <c r="C29" s="57" t="s">
        <v>104</v>
      </c>
      <c r="D29" s="58">
        <v>250</v>
      </c>
      <c r="E29" s="114" t="s">
        <v>126</v>
      </c>
      <c r="F29" s="59">
        <f t="shared" ref="F29:F35" si="2">IF(E29="Oui",D29,0)</f>
        <v>0</v>
      </c>
    </row>
    <row r="30" spans="1:9" ht="47.45" customHeight="1">
      <c r="A30" s="391"/>
      <c r="B30" s="56" t="s">
        <v>101</v>
      </c>
      <c r="C30" s="86" t="s">
        <v>119</v>
      </c>
      <c r="D30" s="87">
        <v>250</v>
      </c>
      <c r="E30" s="113" t="s">
        <v>125</v>
      </c>
      <c r="F30" s="59">
        <f t="shared" si="2"/>
        <v>250</v>
      </c>
    </row>
    <row r="31" spans="1:9" ht="51.6" customHeight="1">
      <c r="A31" s="391"/>
      <c r="B31" s="56" t="s">
        <v>105</v>
      </c>
      <c r="C31" s="86" t="s">
        <v>120</v>
      </c>
      <c r="D31" s="87">
        <v>250</v>
      </c>
      <c r="E31" s="114" t="s">
        <v>126</v>
      </c>
      <c r="F31" s="59">
        <f t="shared" si="2"/>
        <v>0</v>
      </c>
    </row>
    <row r="32" spans="1:9" ht="51.6" customHeight="1">
      <c r="A32" s="391"/>
      <c r="B32" s="56" t="s">
        <v>106</v>
      </c>
      <c r="C32" s="88" t="s">
        <v>107</v>
      </c>
      <c r="D32" s="87">
        <v>200</v>
      </c>
      <c r="E32" s="113" t="s">
        <v>125</v>
      </c>
      <c r="F32" s="59">
        <f t="shared" si="2"/>
        <v>200</v>
      </c>
    </row>
    <row r="33" spans="1:7" ht="51.6" customHeight="1">
      <c r="A33" s="391"/>
      <c r="B33" s="56" t="s">
        <v>106</v>
      </c>
      <c r="C33" s="88" t="s">
        <v>108</v>
      </c>
      <c r="D33" s="87">
        <v>100</v>
      </c>
      <c r="E33" s="113" t="s">
        <v>125</v>
      </c>
      <c r="F33" s="59">
        <f t="shared" si="2"/>
        <v>100</v>
      </c>
    </row>
    <row r="34" spans="1:7" ht="27" customHeight="1">
      <c r="A34" s="391"/>
      <c r="B34" s="56" t="s">
        <v>84</v>
      </c>
      <c r="C34" s="74" t="s">
        <v>109</v>
      </c>
      <c r="D34" s="87">
        <v>450</v>
      </c>
      <c r="E34" s="113" t="s">
        <v>125</v>
      </c>
      <c r="F34" s="59">
        <f t="shared" si="2"/>
        <v>450</v>
      </c>
    </row>
    <row r="35" spans="1:7" ht="30.6" customHeight="1" thickBot="1">
      <c r="A35" s="392"/>
      <c r="B35" s="60" t="s">
        <v>86</v>
      </c>
      <c r="C35" s="61" t="s">
        <v>110</v>
      </c>
      <c r="D35" s="115">
        <v>100</v>
      </c>
      <c r="E35" s="113" t="s">
        <v>125</v>
      </c>
      <c r="F35" s="59">
        <f t="shared" si="2"/>
        <v>100</v>
      </c>
    </row>
    <row r="36" spans="1:7" ht="15.75">
      <c r="B36" s="89" t="s">
        <v>111</v>
      </c>
      <c r="C36" s="90"/>
      <c r="D36" s="91">
        <f>SUM(D28:D35)</f>
        <v>1850</v>
      </c>
      <c r="E36" s="92"/>
      <c r="F36" s="92">
        <f>SUM(F28:F35)</f>
        <v>1350</v>
      </c>
    </row>
    <row r="37" spans="1:7" ht="15.75" thickBot="1">
      <c r="B37" s="20"/>
      <c r="C37" s="20"/>
      <c r="D37" s="20"/>
      <c r="E37" s="20"/>
      <c r="F37" s="20"/>
      <c r="G37" s="20"/>
    </row>
    <row r="38" spans="1:7" ht="30.75" thickBot="1">
      <c r="B38" s="20"/>
      <c r="C38" s="93" t="s">
        <v>112</v>
      </c>
      <c r="D38" s="53" t="s">
        <v>90</v>
      </c>
      <c r="E38" s="53" t="s">
        <v>123</v>
      </c>
      <c r="F38" s="53" t="s">
        <v>98</v>
      </c>
    </row>
    <row r="39" spans="1:7" ht="16.5" thickBot="1">
      <c r="B39" s="83" t="s">
        <v>99</v>
      </c>
      <c r="C39" s="85"/>
      <c r="D39" s="85"/>
      <c r="E39" s="85"/>
      <c r="F39" s="85"/>
    </row>
    <row r="40" spans="1:7" ht="43.15" customHeight="1">
      <c r="A40" s="94" t="s">
        <v>113</v>
      </c>
      <c r="B40" s="56" t="s">
        <v>82</v>
      </c>
      <c r="C40" s="57" t="s">
        <v>114</v>
      </c>
      <c r="D40" s="95">
        <v>700</v>
      </c>
      <c r="E40" s="112" t="s">
        <v>125</v>
      </c>
      <c r="F40" s="59">
        <f>IF(E40="Oui",D40,0)</f>
        <v>700</v>
      </c>
    </row>
    <row r="41" spans="1:7" ht="15.75">
      <c r="B41" s="89" t="s">
        <v>115</v>
      </c>
      <c r="C41" s="96"/>
      <c r="D41" s="97">
        <f>SUM(D40:D40)</f>
        <v>700</v>
      </c>
      <c r="E41" s="97"/>
      <c r="F41" s="92">
        <f>SUM(F40:F40)</f>
        <v>700</v>
      </c>
    </row>
    <row r="42" spans="1:7" ht="15.75" thickBot="1">
      <c r="B42" s="20"/>
      <c r="C42" s="20"/>
      <c r="D42" s="20"/>
      <c r="E42" s="20"/>
      <c r="F42" s="20"/>
      <c r="G42" s="20"/>
    </row>
    <row r="43" spans="1:7" ht="25.9" customHeight="1" thickBot="1">
      <c r="A43" s="76"/>
      <c r="C43" s="81" t="s">
        <v>116</v>
      </c>
    </row>
    <row r="44" spans="1:7" ht="15.75" thickBot="1">
      <c r="A44" s="76"/>
      <c r="C44" s="55"/>
    </row>
    <row r="45" spans="1:7" s="76" customFormat="1" ht="27" customHeight="1" thickTop="1" thickBot="1">
      <c r="B45" s="20"/>
      <c r="C45" s="82">
        <f>+F36+F41</f>
        <v>2050</v>
      </c>
      <c r="D45" s="20"/>
      <c r="E45" s="20"/>
      <c r="F45" s="20"/>
      <c r="G45" s="20"/>
    </row>
    <row r="46" spans="1:7" ht="15.75" thickTop="1">
      <c r="B46" s="20"/>
      <c r="C46" s="20"/>
      <c r="D46" s="20"/>
      <c r="E46" s="20"/>
      <c r="F46" s="20"/>
      <c r="G46" s="20"/>
    </row>
    <row r="47" spans="1:7">
      <c r="B47" s="20"/>
      <c r="C47" s="20"/>
      <c r="D47" s="20"/>
      <c r="E47" s="20"/>
      <c r="F47" s="20"/>
      <c r="G47" s="20"/>
    </row>
    <row r="49" spans="3:7">
      <c r="C49" s="116" t="s">
        <v>117</v>
      </c>
      <c r="D49" s="117">
        <v>7</v>
      </c>
      <c r="E49" s="99"/>
      <c r="G49" s="99"/>
    </row>
    <row r="50" spans="3:7" ht="15.75" thickBot="1">
      <c r="C50" s="98"/>
      <c r="D50" s="99"/>
      <c r="E50" s="99"/>
      <c r="G50" s="99"/>
    </row>
    <row r="51" spans="3:7" ht="39" customHeight="1" thickTop="1" thickBot="1">
      <c r="C51" s="82" t="s">
        <v>118</v>
      </c>
      <c r="D51" s="100">
        <f>+(C23+C45)*D49</f>
        <v>62475</v>
      </c>
      <c r="E51" s="101"/>
      <c r="F51" s="76"/>
      <c r="G51" s="101"/>
    </row>
    <row r="52" spans="3:7" ht="15.75" thickTop="1"/>
    <row r="53" spans="3:7">
      <c r="C53" s="367" t="str">
        <f>IF(C22="La structure ne remplit par les critères socles et ne peut donc pas bénéficier des NMR","La structure ne remplit par les critères socles et ne peut donc pas bénéficier des NMR","")</f>
        <v/>
      </c>
    </row>
  </sheetData>
  <mergeCells count="4">
    <mergeCell ref="A10:A12"/>
    <mergeCell ref="A17:A18"/>
    <mergeCell ref="A28:A35"/>
    <mergeCell ref="G1:H2"/>
  </mergeCells>
  <dataValidations count="2">
    <dataValidation type="list" showInputMessage="1" showErrorMessage="1" sqref="E10:E12">
      <formula1>choix</formula1>
    </dataValidation>
    <dataValidation type="list" allowBlank="1" showInputMessage="1" showErrorMessage="1" sqref="E28:E35 E40">
      <formula1>choix</formula1>
    </dataValidation>
  </dataValidations>
  <hyperlinks>
    <hyperlink ref="G1:H2" location="'Accueil Rapport d''activité'!A1" display="Sommaire"/>
  </hyperlinks>
  <pageMargins left="0.7" right="0.7" top="0.75" bottom="0.75" header="0.3" footer="0.3"/>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4"/>
  <sheetViews>
    <sheetView topLeftCell="A25" workbookViewId="0">
      <selection activeCell="H54" sqref="H54"/>
    </sheetView>
  </sheetViews>
  <sheetFormatPr baseColWidth="10" defaultRowHeight="15"/>
  <cols>
    <col min="1" max="1" width="2.85546875" customWidth="1"/>
    <col min="2" max="2" width="15.85546875" customWidth="1"/>
    <col min="3" max="3" width="5.28515625" customWidth="1"/>
    <col min="4" max="4" width="30" bestFit="1" customWidth="1"/>
    <col min="5" max="5" width="36" bestFit="1" customWidth="1"/>
    <col min="6" max="6" width="22.42578125" customWidth="1"/>
    <col min="7" max="7" width="18.7109375" hidden="1" customWidth="1"/>
    <col min="8" max="8" width="22.7109375" customWidth="1"/>
    <col min="9" max="9" width="21.7109375" bestFit="1" customWidth="1"/>
    <col min="10" max="10" width="17.85546875" bestFit="1" customWidth="1"/>
  </cols>
  <sheetData>
    <row r="1" spans="2:30" ht="21">
      <c r="B1" s="1"/>
      <c r="C1" s="1"/>
      <c r="D1" s="1"/>
      <c r="E1" s="1"/>
      <c r="F1" s="1"/>
      <c r="G1" s="1"/>
      <c r="H1" s="2"/>
      <c r="I1" s="2"/>
      <c r="J1" s="2"/>
      <c r="K1" s="14"/>
      <c r="L1" s="14"/>
      <c r="M1" s="14"/>
      <c r="N1" s="14"/>
      <c r="O1" s="14"/>
    </row>
    <row r="2" spans="2:30">
      <c r="B2" s="3"/>
      <c r="C2" s="3"/>
      <c r="D2" s="3"/>
      <c r="E2" s="3"/>
      <c r="F2" s="3"/>
      <c r="G2" s="3"/>
      <c r="H2" s="4"/>
      <c r="I2" s="4"/>
      <c r="J2" s="4"/>
      <c r="K2" s="15"/>
      <c r="L2" s="16"/>
      <c r="M2" s="16"/>
      <c r="N2" s="16"/>
      <c r="O2" s="16"/>
    </row>
    <row r="3" spans="2:30">
      <c r="B3" s="3"/>
      <c r="C3" s="3"/>
      <c r="D3" s="3"/>
      <c r="E3" s="3"/>
      <c r="F3" s="3"/>
      <c r="G3" s="3"/>
      <c r="H3" s="4"/>
      <c r="I3" s="4"/>
      <c r="J3" s="4"/>
      <c r="K3" s="4"/>
      <c r="L3" s="4"/>
      <c r="M3" s="4"/>
      <c r="N3" s="4"/>
      <c r="O3" s="4"/>
    </row>
    <row r="4" spans="2:30">
      <c r="B4" s="3" t="s">
        <v>0</v>
      </c>
      <c r="C4" s="3"/>
      <c r="D4" s="3"/>
      <c r="E4" s="3"/>
      <c r="F4" s="3"/>
      <c r="G4" s="3"/>
      <c r="H4" s="5"/>
      <c r="I4" s="4"/>
      <c r="J4" s="3"/>
      <c r="K4" s="6" t="s">
        <v>1</v>
      </c>
      <c r="L4" s="7"/>
      <c r="M4" s="7"/>
      <c r="N4" s="7"/>
      <c r="O4" s="3"/>
    </row>
    <row r="5" spans="2:30">
      <c r="B5" s="3" t="s">
        <v>2</v>
      </c>
      <c r="C5" s="3"/>
      <c r="D5" s="3"/>
      <c r="E5" s="3"/>
      <c r="F5" s="3"/>
      <c r="G5" s="3"/>
      <c r="H5" s="8"/>
      <c r="I5" s="4"/>
      <c r="J5" s="4"/>
      <c r="K5" s="6" t="s">
        <v>3</v>
      </c>
      <c r="L5" s="9"/>
      <c r="M5" s="9"/>
      <c r="N5" s="9"/>
      <c r="O5" s="3"/>
    </row>
    <row r="6" spans="2:30">
      <c r="B6" s="3" t="s">
        <v>4</v>
      </c>
      <c r="C6" s="3"/>
      <c r="D6" s="3"/>
      <c r="E6" s="3"/>
      <c r="F6" s="3"/>
      <c r="G6" s="3"/>
      <c r="H6" s="10"/>
      <c r="I6" s="4"/>
      <c r="J6" s="4"/>
      <c r="K6" s="6"/>
      <c r="L6" s="7"/>
      <c r="M6" s="7"/>
      <c r="N6" s="7"/>
      <c r="O6" s="3"/>
    </row>
    <row r="7" spans="2:30">
      <c r="B7" s="3" t="s">
        <v>5</v>
      </c>
      <c r="C7" s="3"/>
      <c r="D7" s="3"/>
      <c r="E7" s="3"/>
      <c r="F7" s="3"/>
      <c r="G7" s="3"/>
      <c r="H7" s="11"/>
      <c r="I7" s="4"/>
      <c r="J7" s="4"/>
      <c r="K7" s="6" t="s">
        <v>6</v>
      </c>
      <c r="L7" s="7"/>
      <c r="M7" s="7"/>
      <c r="N7" s="7"/>
      <c r="O7" s="3"/>
    </row>
    <row r="8" spans="2:30">
      <c r="B8" s="3" t="s">
        <v>132</v>
      </c>
      <c r="C8" s="3"/>
      <c r="D8" s="3"/>
      <c r="E8" s="12"/>
      <c r="F8" s="3"/>
      <c r="G8" s="3"/>
      <c r="H8" s="12"/>
      <c r="I8" s="4"/>
      <c r="J8" s="4"/>
      <c r="K8" s="6" t="s">
        <v>3</v>
      </c>
      <c r="L8" s="9"/>
      <c r="M8" s="9"/>
      <c r="N8" s="9"/>
      <c r="O8" s="3"/>
    </row>
    <row r="9" spans="2:30" ht="15.75" thickBot="1">
      <c r="B9" s="13"/>
      <c r="C9" s="13"/>
      <c r="D9" s="13"/>
      <c r="E9" s="13"/>
      <c r="F9" s="13"/>
      <c r="G9" s="13"/>
      <c r="H9" s="13"/>
      <c r="I9" s="13"/>
      <c r="J9" s="13"/>
      <c r="K9" s="13"/>
      <c r="L9" s="13"/>
      <c r="M9" s="13"/>
      <c r="N9" s="13"/>
      <c r="O9" s="13"/>
      <c r="P9" s="119"/>
      <c r="Q9" s="119"/>
      <c r="R9" s="119"/>
      <c r="S9" s="119"/>
      <c r="T9" s="119"/>
      <c r="U9" s="119"/>
      <c r="V9" s="119"/>
      <c r="W9" s="119"/>
      <c r="X9" s="119"/>
      <c r="Y9" s="119"/>
      <c r="Z9" s="119"/>
      <c r="AA9" s="119"/>
      <c r="AB9" s="119"/>
      <c r="AC9" s="119"/>
      <c r="AD9" s="119"/>
    </row>
    <row r="10" spans="2:30">
      <c r="B10" s="3"/>
      <c r="C10" s="3"/>
      <c r="D10" s="3"/>
      <c r="E10" s="3"/>
      <c r="F10" s="3"/>
      <c r="G10" s="3"/>
      <c r="H10" s="369" t="s">
        <v>131</v>
      </c>
      <c r="I10" s="370"/>
      <c r="J10" s="4"/>
      <c r="K10" s="4"/>
      <c r="N10" s="3"/>
      <c r="O10" s="3"/>
    </row>
    <row r="11" spans="2:30" ht="15.75" thickBot="1">
      <c r="B11" s="118" t="s">
        <v>208</v>
      </c>
      <c r="C11" s="118"/>
      <c r="D11" s="118"/>
      <c r="E11" s="118"/>
      <c r="F11" s="118"/>
      <c r="G11" s="118"/>
      <c r="H11" s="371"/>
      <c r="I11" s="372"/>
    </row>
    <row r="13" spans="2:30" ht="15.75" thickBot="1"/>
    <row r="14" spans="2:30" ht="15.75" thickBot="1">
      <c r="B14" s="383" t="s">
        <v>232</v>
      </c>
      <c r="D14" s="286" t="s">
        <v>239</v>
      </c>
      <c r="E14" s="286" t="s">
        <v>231</v>
      </c>
      <c r="F14" s="286" t="s">
        <v>209</v>
      </c>
      <c r="G14" s="286" t="s">
        <v>230</v>
      </c>
      <c r="H14" s="286" t="s">
        <v>210</v>
      </c>
      <c r="I14" s="286" t="s">
        <v>211</v>
      </c>
      <c r="J14" s="286" t="s">
        <v>229</v>
      </c>
    </row>
    <row r="15" spans="2:30">
      <c r="B15" s="384"/>
      <c r="D15" s="323" t="s">
        <v>222</v>
      </c>
      <c r="E15" s="287">
        <v>100</v>
      </c>
      <c r="F15" s="293" t="s">
        <v>226</v>
      </c>
      <c r="G15" s="288">
        <f>IF(F15="Mensuelle",12,IF(F15="Annuelle",1,4))</f>
        <v>12</v>
      </c>
      <c r="H15" s="293" t="s">
        <v>125</v>
      </c>
      <c r="I15" s="296">
        <v>0.2</v>
      </c>
      <c r="J15" s="287">
        <f>IF(H15="Oui",E15*G15*(1+I15),E15*G15)</f>
        <v>1440</v>
      </c>
    </row>
    <row r="16" spans="2:30">
      <c r="B16" s="384"/>
      <c r="D16" s="324" t="s">
        <v>218</v>
      </c>
      <c r="E16" s="289"/>
      <c r="F16" s="294"/>
      <c r="G16" s="290"/>
      <c r="H16" s="294"/>
      <c r="I16" s="297"/>
      <c r="J16" s="289"/>
    </row>
    <row r="17" spans="2:10">
      <c r="B17" s="384"/>
      <c r="D17" s="324" t="s">
        <v>213</v>
      </c>
      <c r="E17" s="289"/>
      <c r="F17" s="294"/>
      <c r="G17" s="290"/>
      <c r="H17" s="294"/>
      <c r="I17" s="297"/>
      <c r="J17" s="289"/>
    </row>
    <row r="18" spans="2:10">
      <c r="B18" s="384"/>
      <c r="D18" s="324" t="s">
        <v>212</v>
      </c>
      <c r="E18" s="289"/>
      <c r="F18" s="294"/>
      <c r="G18" s="290"/>
      <c r="H18" s="294"/>
      <c r="I18" s="297"/>
      <c r="J18" s="289"/>
    </row>
    <row r="19" spans="2:10">
      <c r="B19" s="384"/>
      <c r="D19" s="324" t="s">
        <v>219</v>
      </c>
      <c r="E19" s="289"/>
      <c r="F19" s="294"/>
      <c r="G19" s="290"/>
      <c r="H19" s="294"/>
      <c r="I19" s="297"/>
      <c r="J19" s="289"/>
    </row>
    <row r="20" spans="2:10">
      <c r="B20" s="384"/>
      <c r="D20" s="324" t="s">
        <v>220</v>
      </c>
      <c r="E20" s="289"/>
      <c r="F20" s="294"/>
      <c r="G20" s="290"/>
      <c r="H20" s="294"/>
      <c r="I20" s="297"/>
      <c r="J20" s="289"/>
    </row>
    <row r="21" spans="2:10">
      <c r="B21" s="384"/>
      <c r="D21" s="324" t="s">
        <v>221</v>
      </c>
      <c r="E21" s="289"/>
      <c r="F21" s="294"/>
      <c r="G21" s="290"/>
      <c r="H21" s="294"/>
      <c r="I21" s="297"/>
      <c r="J21" s="289"/>
    </row>
    <row r="22" spans="2:10">
      <c r="B22" s="384"/>
      <c r="D22" s="324" t="s">
        <v>214</v>
      </c>
      <c r="E22" s="289"/>
      <c r="F22" s="294"/>
      <c r="G22" s="290"/>
      <c r="H22" s="294"/>
      <c r="I22" s="297"/>
      <c r="J22" s="289"/>
    </row>
    <row r="23" spans="2:10">
      <c r="B23" s="384"/>
      <c r="D23" s="324" t="s">
        <v>215</v>
      </c>
      <c r="E23" s="289"/>
      <c r="F23" s="294"/>
      <c r="G23" s="290"/>
      <c r="H23" s="294"/>
      <c r="I23" s="297"/>
      <c r="J23" s="289"/>
    </row>
    <row r="24" spans="2:10">
      <c r="B24" s="384"/>
      <c r="D24" s="324" t="s">
        <v>216</v>
      </c>
      <c r="E24" s="289"/>
      <c r="F24" s="294"/>
      <c r="G24" s="290"/>
      <c r="H24" s="294"/>
      <c r="I24" s="297"/>
      <c r="J24" s="289"/>
    </row>
    <row r="25" spans="2:10" ht="15.75" thickBot="1">
      <c r="B25" s="385"/>
      <c r="D25" s="325" t="s">
        <v>217</v>
      </c>
      <c r="E25" s="291"/>
      <c r="F25" s="295"/>
      <c r="G25" s="292"/>
      <c r="H25" s="295"/>
      <c r="I25" s="298"/>
      <c r="J25" s="291"/>
    </row>
    <row r="26" spans="2:10" ht="15.75" thickBot="1">
      <c r="I26" s="286" t="s">
        <v>135</v>
      </c>
      <c r="J26" s="319">
        <f>SUM(J15:J25)</f>
        <v>1440</v>
      </c>
    </row>
    <row r="28" spans="2:10">
      <c r="D28" s="299" t="s">
        <v>233</v>
      </c>
      <c r="F28" s="18"/>
    </row>
    <row r="29" spans="2:10" ht="15.75" thickBot="1"/>
    <row r="30" spans="2:10" ht="30.75" thickBot="1">
      <c r="B30" s="383" t="s">
        <v>237</v>
      </c>
      <c r="D30" s="315" t="s">
        <v>238</v>
      </c>
      <c r="E30" s="301" t="s">
        <v>234</v>
      </c>
      <c r="F30" s="301" t="s">
        <v>235</v>
      </c>
      <c r="G30" s="302"/>
      <c r="H30" s="302" t="s">
        <v>236</v>
      </c>
    </row>
    <row r="31" spans="2:10">
      <c r="B31" s="384"/>
      <c r="D31" s="320" t="s">
        <v>243</v>
      </c>
      <c r="E31" s="312">
        <v>1250</v>
      </c>
      <c r="F31" s="306">
        <v>0.39</v>
      </c>
      <c r="G31" s="303"/>
      <c r="H31" s="309">
        <f>+E31*12*(1+F31)</f>
        <v>20850.000000000004</v>
      </c>
    </row>
    <row r="32" spans="2:10">
      <c r="B32" s="384"/>
      <c r="D32" s="322"/>
      <c r="E32" s="313"/>
      <c r="F32" s="307"/>
      <c r="G32" s="304"/>
      <c r="H32" s="310"/>
    </row>
    <row r="33" spans="2:8">
      <c r="B33" s="384"/>
      <c r="D33" s="322"/>
      <c r="E33" s="313"/>
      <c r="F33" s="307"/>
      <c r="G33" s="304"/>
      <c r="H33" s="310"/>
    </row>
    <row r="34" spans="2:8">
      <c r="B34" s="384"/>
      <c r="D34" s="322"/>
      <c r="E34" s="313"/>
      <c r="F34" s="307"/>
      <c r="G34" s="304"/>
      <c r="H34" s="310"/>
    </row>
    <row r="35" spans="2:8">
      <c r="B35" s="384"/>
      <c r="D35" s="322"/>
      <c r="E35" s="313"/>
      <c r="F35" s="307"/>
      <c r="G35" s="304"/>
      <c r="H35" s="310"/>
    </row>
    <row r="36" spans="2:8">
      <c r="B36" s="384"/>
      <c r="D36" s="322"/>
      <c r="E36" s="313"/>
      <c r="F36" s="307"/>
      <c r="G36" s="304"/>
      <c r="H36" s="310"/>
    </row>
    <row r="37" spans="2:8" ht="15.75" thickBot="1">
      <c r="B37" s="385"/>
      <c r="D37" s="321"/>
      <c r="E37" s="314"/>
      <c r="F37" s="308"/>
      <c r="G37" s="305"/>
      <c r="H37" s="311"/>
    </row>
    <row r="38" spans="2:8" ht="15.75" thickBot="1">
      <c r="F38" s="286" t="s">
        <v>135</v>
      </c>
      <c r="G38" s="318"/>
      <c r="H38" s="336">
        <f>+SUM(H31:H37)</f>
        <v>20850.000000000004</v>
      </c>
    </row>
    <row r="39" spans="2:8" ht="15.75" thickBot="1"/>
    <row r="40" spans="2:8" ht="15.75" customHeight="1" thickBot="1">
      <c r="B40" s="383" t="s">
        <v>241</v>
      </c>
      <c r="D40" s="286" t="s">
        <v>238</v>
      </c>
      <c r="E40" s="285" t="s">
        <v>240</v>
      </c>
      <c r="F40" s="284"/>
    </row>
    <row r="41" spans="2:8">
      <c r="B41" s="384"/>
      <c r="D41" s="320" t="s">
        <v>244</v>
      </c>
      <c r="E41" s="316">
        <v>600</v>
      </c>
      <c r="F41" s="300"/>
    </row>
    <row r="42" spans="2:8" ht="15.75" thickBot="1">
      <c r="B42" s="384"/>
      <c r="D42" s="321"/>
      <c r="E42" s="317"/>
    </row>
    <row r="43" spans="2:8" ht="15.75" thickBot="1">
      <c r="B43" s="385"/>
      <c r="D43" s="286" t="s">
        <v>135</v>
      </c>
      <c r="E43" s="336">
        <f>+E41+E42</f>
        <v>600</v>
      </c>
    </row>
    <row r="45" spans="2:8" ht="15.75" thickBot="1"/>
    <row r="46" spans="2:8" ht="45.75" thickBot="1">
      <c r="B46" s="383" t="s">
        <v>245</v>
      </c>
      <c r="D46" s="286" t="s">
        <v>238</v>
      </c>
      <c r="E46" s="285" t="s">
        <v>246</v>
      </c>
      <c r="F46" s="330" t="s">
        <v>248</v>
      </c>
      <c r="G46" s="331"/>
      <c r="H46" s="334" t="s">
        <v>247</v>
      </c>
    </row>
    <row r="47" spans="2:8">
      <c r="B47" s="384"/>
      <c r="D47" s="326" t="s">
        <v>266</v>
      </c>
      <c r="E47" s="328">
        <v>6000</v>
      </c>
      <c r="F47" s="300">
        <v>4</v>
      </c>
      <c r="G47" s="19"/>
      <c r="H47" s="335">
        <f>IF(ISBLANK(F47),"",E47/F47)</f>
        <v>1500</v>
      </c>
    </row>
    <row r="48" spans="2:8">
      <c r="B48" s="384"/>
      <c r="D48" s="326" t="s">
        <v>267</v>
      </c>
      <c r="E48" s="328">
        <v>25000</v>
      </c>
      <c r="F48" s="300">
        <v>4</v>
      </c>
      <c r="G48" s="19"/>
      <c r="H48" s="335">
        <f t="shared" ref="H48:H53" si="0">IF(ISBLANK(F48),"",E48/F48)</f>
        <v>6250</v>
      </c>
    </row>
    <row r="49" spans="2:11">
      <c r="B49" s="384"/>
      <c r="D49" s="326"/>
      <c r="E49" s="328"/>
      <c r="F49" s="300"/>
      <c r="G49" s="19"/>
      <c r="H49" s="335" t="str">
        <f t="shared" si="0"/>
        <v/>
      </c>
    </row>
    <row r="50" spans="2:11">
      <c r="B50" s="384"/>
      <c r="D50" s="326"/>
      <c r="E50" s="328"/>
      <c r="F50" s="300"/>
      <c r="G50" s="19"/>
      <c r="H50" s="335" t="str">
        <f t="shared" si="0"/>
        <v/>
      </c>
    </row>
    <row r="51" spans="2:11">
      <c r="B51" s="384"/>
      <c r="D51" s="326"/>
      <c r="E51" s="328"/>
      <c r="F51" s="300"/>
      <c r="G51" s="19"/>
      <c r="H51" s="335" t="str">
        <f t="shared" si="0"/>
        <v/>
      </c>
    </row>
    <row r="52" spans="2:11">
      <c r="B52" s="384"/>
      <c r="D52" s="326"/>
      <c r="E52" s="328"/>
      <c r="F52" s="300"/>
      <c r="G52" s="19"/>
      <c r="H52" s="335" t="str">
        <f t="shared" si="0"/>
        <v/>
      </c>
    </row>
    <row r="53" spans="2:11" ht="15.75" thickBot="1">
      <c r="B53" s="384"/>
      <c r="D53" s="327"/>
      <c r="E53" s="329"/>
      <c r="F53" s="300"/>
      <c r="G53" s="19"/>
      <c r="H53" s="335" t="str">
        <f t="shared" si="0"/>
        <v/>
      </c>
    </row>
    <row r="54" spans="2:11" ht="15.75" thickBot="1">
      <c r="B54" s="385"/>
      <c r="D54" s="286" t="s">
        <v>135</v>
      </c>
      <c r="E54" s="336">
        <f>SUM(E47:E53)</f>
        <v>31000</v>
      </c>
      <c r="F54" s="332"/>
      <c r="G54" s="333"/>
      <c r="H54" s="337">
        <f>+SUM(H47:H53)</f>
        <v>7750</v>
      </c>
    </row>
    <row r="56" spans="2:11">
      <c r="E56" s="76"/>
      <c r="F56" s="76"/>
      <c r="G56" s="76"/>
      <c r="H56" s="76"/>
      <c r="I56" s="76"/>
      <c r="J56" s="76"/>
      <c r="K56" s="76"/>
    </row>
    <row r="57" spans="2:11">
      <c r="E57" s="76"/>
      <c r="F57" s="76"/>
      <c r="G57" s="76"/>
      <c r="H57" s="76"/>
      <c r="I57" s="76"/>
      <c r="J57" s="76"/>
      <c r="K57" s="76"/>
    </row>
    <row r="58" spans="2:11">
      <c r="E58" s="338"/>
      <c r="F58" s="76"/>
      <c r="G58" s="76"/>
      <c r="H58" s="338"/>
      <c r="I58" s="76"/>
      <c r="J58" s="76"/>
      <c r="K58" s="76"/>
    </row>
    <row r="59" spans="2:11">
      <c r="E59" s="76"/>
      <c r="F59" s="76"/>
      <c r="G59" s="76"/>
      <c r="H59" s="76"/>
      <c r="I59" s="76"/>
      <c r="J59" s="76"/>
      <c r="K59" s="76"/>
    </row>
    <row r="60" spans="2:11">
      <c r="E60" s="338"/>
      <c r="F60" s="76"/>
      <c r="G60" s="76"/>
      <c r="H60" s="338"/>
      <c r="I60" s="76"/>
      <c r="J60" s="338"/>
      <c r="K60" s="76"/>
    </row>
    <row r="61" spans="2:11">
      <c r="E61" s="76"/>
      <c r="F61" s="76"/>
      <c r="G61" s="76"/>
      <c r="H61" s="76"/>
      <c r="I61" s="76"/>
      <c r="J61" s="76"/>
      <c r="K61" s="76"/>
    </row>
    <row r="62" spans="2:11">
      <c r="E62" s="338"/>
      <c r="F62" s="76"/>
      <c r="G62" s="76"/>
      <c r="H62" s="76"/>
      <c r="I62" s="76"/>
      <c r="J62" s="76"/>
      <c r="K62" s="76"/>
    </row>
    <row r="63" spans="2:11">
      <c r="E63" s="76"/>
      <c r="F63" s="76"/>
      <c r="G63" s="76"/>
      <c r="H63" s="76"/>
      <c r="I63" s="76"/>
      <c r="J63" s="76"/>
      <c r="K63" s="76"/>
    </row>
    <row r="64" spans="2:11">
      <c r="F64" s="136"/>
    </row>
  </sheetData>
  <dataConsolidate/>
  <mergeCells count="5">
    <mergeCell ref="B14:B25"/>
    <mergeCell ref="B30:B37"/>
    <mergeCell ref="B40:B43"/>
    <mergeCell ref="B46:B54"/>
    <mergeCell ref="H10:I11"/>
  </mergeCells>
  <dataValidations disablePrompts="1" count="3">
    <dataValidation type="list" allowBlank="1" showInputMessage="1" showErrorMessage="1" sqref="F15:F25">
      <formula1>periodicite</formula1>
    </dataValidation>
    <dataValidation type="list" allowBlank="1" showInputMessage="1" showErrorMessage="1" sqref="H15:H25 F28">
      <formula1>choix</formula1>
    </dataValidation>
    <dataValidation type="list" allowBlank="1" showInputMessage="1" showErrorMessage="1" sqref="I15:I25">
      <formula1>taux_tva</formula1>
    </dataValidation>
  </dataValidations>
  <hyperlinks>
    <hyperlink ref="L10:M10" location="'Sommaire général'!A1" display="Sommaire"/>
    <hyperlink ref="H10:I11" location="'Sommaire général'!A1" display="Sommaire"/>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G25" sqref="G25:G29"/>
    </sheetView>
  </sheetViews>
  <sheetFormatPr baseColWidth="10" defaultRowHeight="15"/>
  <sheetData>
    <row r="1" spans="1:3">
      <c r="A1" t="s">
        <v>223</v>
      </c>
      <c r="B1" t="s">
        <v>224</v>
      </c>
      <c r="C1" t="s">
        <v>225</v>
      </c>
    </row>
    <row r="2" spans="1:3">
      <c r="A2" t="s">
        <v>125</v>
      </c>
      <c r="B2" s="283">
        <v>5.5E-2</v>
      </c>
      <c r="C2" t="s">
        <v>226</v>
      </c>
    </row>
    <row r="3" spans="1:3">
      <c r="A3" t="s">
        <v>126</v>
      </c>
      <c r="B3" s="283">
        <v>0.1</v>
      </c>
      <c r="C3" t="s">
        <v>227</v>
      </c>
    </row>
    <row r="4" spans="1:3">
      <c r="B4" s="283">
        <v>0.2</v>
      </c>
      <c r="C4" t="s">
        <v>228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L38" sqref="L38"/>
    </sheetView>
  </sheetViews>
  <sheetFormatPr baseColWidth="10" defaultRowHeight="15"/>
  <cols>
    <col min="1" max="1" width="15.28515625" customWidth="1"/>
    <col min="2" max="2" width="12.28515625" customWidth="1"/>
    <col min="3" max="4" width="11.28515625" customWidth="1"/>
  </cols>
  <sheetData>
    <row r="1" spans="1:1">
      <c r="A1" s="17" t="s">
        <v>124</v>
      </c>
    </row>
    <row r="2" spans="1:1">
      <c r="A2" t="s">
        <v>125</v>
      </c>
    </row>
    <row r="3" spans="1:1">
      <c r="A3"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Sommaire général</vt:lpstr>
      <vt:lpstr>Fiche d'identification</vt:lpstr>
      <vt:lpstr>Liste des professionnels</vt:lpstr>
      <vt:lpstr>fiche ID (var)</vt:lpstr>
      <vt:lpstr>liste pro (var)</vt:lpstr>
      <vt:lpstr>Calcul de la dotation NMR</vt:lpstr>
      <vt:lpstr>Frais de fonctionnement prev</vt:lpstr>
      <vt:lpstr>var prev</vt:lpstr>
      <vt:lpstr>dot nmr (var)</vt:lpstr>
      <vt:lpstr>Rémunérations des pros</vt:lpstr>
      <vt:lpstr>Synthèse prévisionnelle</vt:lpstr>
      <vt:lpstr>rem des pros (var)</vt:lpstr>
      <vt:lpstr>Résultat fiscal SISA</vt:lpstr>
      <vt:lpstr>Impact fiscal et social</vt:lpstr>
      <vt:lpstr>choix</vt:lpstr>
      <vt:lpstr>cle_de_repartition</vt:lpstr>
      <vt:lpstr>liste_profession</vt:lpstr>
      <vt:lpstr>option_comptable</vt:lpstr>
      <vt:lpstr>oui_non</vt:lpstr>
      <vt:lpstr>periodicite</vt:lpstr>
      <vt:lpstr>profession_medicale</vt:lpstr>
      <vt:lpstr>profession_paramedicale</vt:lpstr>
      <vt:lpstr>regime_fiscal</vt:lpstr>
      <vt:lpstr>structure_du_capital</vt:lpstr>
      <vt:lpstr>taux_tva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2018-08-31T14:10:45Z</dcterms:modified>
</cp:coreProperties>
</file>